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1" autoFilterDateGrouping="1"/>
  </bookViews>
  <sheets>
    <sheet xmlns:r="http://schemas.openxmlformats.org/officeDocument/2006/relationships" name="Assumptions" sheetId="1" state="visible" r:id="rId1"/>
    <sheet xmlns:r="http://schemas.openxmlformats.org/officeDocument/2006/relationships" name="Sources &amp; Uses" sheetId="2" state="visible" r:id="rId2"/>
    <sheet xmlns:r="http://schemas.openxmlformats.org/officeDocument/2006/relationships" name="Consolidated P&amp;L" sheetId="3" state="visible" r:id="rId3"/>
    <sheet xmlns:r="http://schemas.openxmlformats.org/officeDocument/2006/relationships" name="Balance Sheet" sheetId="4" state="visible" r:id="rId4"/>
    <sheet xmlns:r="http://schemas.openxmlformats.org/officeDocument/2006/relationships" name="Cash Flow Statement" sheetId="5" state="visible" r:id="rId5"/>
    <sheet xmlns:r="http://schemas.openxmlformats.org/officeDocument/2006/relationships" name="Returns Summary" sheetId="6" state="visible" r:id="rId6"/>
    <sheet xmlns:r="http://schemas.openxmlformats.org/officeDocument/2006/relationships" name="Assumption Notes" sheetId="7" state="visible" r:id="rId7"/>
    <sheet xmlns:r="http://schemas.openxmlformats.org/officeDocument/2006/relationships" name="Platform P&amp;L" sheetId="8" state="visible" r:id="rId8"/>
    <sheet xmlns:r="http://schemas.openxmlformats.org/officeDocument/2006/relationships" name="Add-On 1" sheetId="9" state="visible" r:id="rId9"/>
    <sheet xmlns:r="http://schemas.openxmlformats.org/officeDocument/2006/relationships" name="Add-On 2" sheetId="10" state="visible" r:id="rId10"/>
    <sheet xmlns:r="http://schemas.openxmlformats.org/officeDocument/2006/relationships" name="Add-On 3" sheetId="11" state="visible" r:id="rId11"/>
    <sheet xmlns:r="http://schemas.openxmlformats.org/officeDocument/2006/relationships" name="Add-On 4" sheetId="12" state="visible" r:id="rId12"/>
    <sheet xmlns:r="http://schemas.openxmlformats.org/officeDocument/2006/relationships" name="Add-On 5" sheetId="13" state="visible" r:id="rId13"/>
    <sheet xmlns:r="http://schemas.openxmlformats.org/officeDocument/2006/relationships" name="Add-On 6" sheetId="14" state="visible" r:id="rId14"/>
    <sheet xmlns:r="http://schemas.openxmlformats.org/officeDocument/2006/relationships" name="Add-On 7" sheetId="15" state="visible" r:id="rId15"/>
    <sheet xmlns:r="http://schemas.openxmlformats.org/officeDocument/2006/relationships" name="Add-On 8" sheetId="16" state="visible" r:id="rId16"/>
    <sheet xmlns:r="http://schemas.openxmlformats.org/officeDocument/2006/relationships" name="Add-On 9" sheetId="17" state="visible" r:id="rId17"/>
    <sheet xmlns:r="http://schemas.openxmlformats.org/officeDocument/2006/relationships" name="Add-On 10" sheetId="18" state="visible" r:id="rId18"/>
    <sheet xmlns:r="http://schemas.openxmlformats.org/officeDocument/2006/relationships" name="Amortization Table" sheetId="19" state="visible" r:id="rId19"/>
    <sheet xmlns:r="http://schemas.openxmlformats.org/officeDocument/2006/relationships" name="Debt Schedule" sheetId="20" state="visible" r:id="rId20"/>
    <sheet xmlns:r="http://schemas.openxmlformats.org/officeDocument/2006/relationships" name="Working Capital" sheetId="21" state="visible" r:id="rId2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1">
    <numFmt numFmtId="164" formatCode="\$#,##0.0"/>
    <numFmt numFmtId="165" formatCode="0.0%"/>
    <numFmt numFmtId="166" formatCode="0.0\x"/>
    <numFmt numFmtId="167" formatCode="_(* #,##0.00_);_(* \(#,##0.00\);_(* \-??_);_(@_)"/>
    <numFmt numFmtId="168" formatCode="\$#,##0.0;&quot;($&quot;#,##0.0\);\-"/>
    <numFmt numFmtId="169" formatCode="mmm\-yy"/>
    <numFmt numFmtId="170" formatCode="\$#,##0.000;&quot;($&quot;#,##0.000\);\-"/>
    <numFmt numFmtId="171" formatCode="0.0%;\(0.0%\);\-"/>
    <numFmt numFmtId="172" formatCode="0.0"/>
    <numFmt numFmtId="173" formatCode="#,##0.0"/>
    <numFmt numFmtId="174" formatCode="#,##0.000"/>
  </numFmts>
  <fonts count="44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b val="1"/>
      <color rgb="FFFFFFFF"/>
      <sz val="9"/>
    </font>
    <font>
      <name val="Arial"/>
      <charset val="1"/>
      <family val="0"/>
      <color rgb="FF000000"/>
      <sz val="9"/>
    </font>
    <font>
      <name val="Arial"/>
      <charset val="1"/>
      <family val="0"/>
      <color rgb="FF0000FF"/>
      <sz val="9"/>
    </font>
    <font>
      <name val="Arial"/>
      <charset val="1"/>
      <family val="0"/>
      <i val="1"/>
      <color rgb="FF555555"/>
      <sz val="9"/>
    </font>
    <font>
      <name val="Arial"/>
      <charset val="1"/>
      <family val="0"/>
      <b val="1"/>
      <color rgb="FFFFFFFF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8000"/>
      <sz val="9"/>
    </font>
    <font>
      <name val="Arial"/>
      <charset val="1"/>
      <family val="2"/>
      <b val="1"/>
      <sz val="9"/>
    </font>
    <font>
      <name val="Arial"/>
      <charset val="1"/>
      <family val="0"/>
      <b val="1"/>
      <color rgb="FF1F3864"/>
      <sz val="9"/>
    </font>
    <font>
      <name val="Arial"/>
      <charset val="1"/>
      <family val="0"/>
      <i val="1"/>
      <color rgb="FF888888"/>
      <sz val="9"/>
    </font>
    <font>
      <name val="Arial"/>
      <charset val="1"/>
      <family val="0"/>
      <color rgb="FF888888"/>
      <sz val="9"/>
    </font>
    <font>
      <name val="Arial"/>
      <charset val="1"/>
      <family val="0"/>
      <b val="1"/>
      <color rgb="FFFFFFFF"/>
      <sz val="10"/>
    </font>
    <font>
      <name val="Arial"/>
      <charset val="1"/>
      <family val="0"/>
      <i val="1"/>
      <color rgb="FF666666"/>
      <sz val="9"/>
    </font>
    <font>
      <name val="Arial"/>
      <charset val="1"/>
      <family val="0"/>
      <color rgb="FF555555"/>
      <sz val="9"/>
    </font>
    <font>
      <name val="Arial"/>
      <charset val="1"/>
      <family val="0"/>
      <color rgb="FF333333"/>
      <sz val="9"/>
    </font>
    <font>
      <name val="Arial"/>
      <charset val="1"/>
      <family val="0"/>
      <b val="1"/>
      <sz val="11"/>
    </font>
    <font>
      <name val="Arial"/>
      <charset val="1"/>
      <family val="0"/>
      <b val="1"/>
      <color rgb="FF1F3864"/>
      <sz val="8"/>
    </font>
    <font>
      <name val="Arial"/>
      <charset val="1"/>
      <family val="0"/>
      <color rgb="FF888888"/>
      <sz val="8"/>
    </font>
    <font>
      <name val="Arial"/>
      <charset val="1"/>
      <family val="0"/>
      <i val="1"/>
      <color rgb="FF999999"/>
      <sz val="9"/>
    </font>
    <font>
      <name val="Arial"/>
      <charset val="1"/>
      <family val="0"/>
      <color rgb="FF999999"/>
      <sz val="9"/>
    </font>
    <font>
      <name val="Arial"/>
      <charset val="1"/>
      <family val="0"/>
      <i val="1"/>
      <color rgb="FF000000"/>
      <sz val="9"/>
    </font>
    <font>
      <name val="Arial"/>
      <charset val="1"/>
      <family val="0"/>
      <color rgb="FF777777"/>
      <sz val="9"/>
    </font>
    <font>
      <name val="Arial"/>
      <charset val="1"/>
      <family val="0"/>
      <color rgb="FF666666"/>
      <sz val="9"/>
    </font>
    <font>
      <name val="Calibri"/>
      <b val="1"/>
      <sz val="11"/>
    </font>
    <font>
      <name val="Calibri"/>
      <i val="1"/>
      <color rgb="00808080"/>
      <sz val="10"/>
    </font>
    <font>
      <name val="Calibri"/>
      <i val="1"/>
      <color rgb="00FF0000"/>
      <sz val="11"/>
    </font>
    <font>
      <name val="Calibri"/>
      <b val="1"/>
      <sz val="12"/>
    </font>
    <font>
      <name val="Calibri"/>
      <b val="1"/>
      <color rgb="00FFFFFF"/>
      <sz val="11"/>
    </font>
    <font>
      <name val="Calibri"/>
      <b val="1"/>
      <color rgb="00006100"/>
      <sz val="11"/>
    </font>
    <font>
      <name val="Calibri"/>
      <b val="1"/>
      <color rgb="001F4E79"/>
      <sz val="11"/>
    </font>
    <font>
      <name val="Calibri"/>
      <b val="1"/>
      <color rgb="009C0006"/>
      <sz val="11"/>
    </font>
    <font>
      <name val="Calibri"/>
      <b val="1"/>
      <sz val="14"/>
    </font>
    <font>
      <name val="Calibri"/>
      <i val="1"/>
      <color rgb="002F5496"/>
      <sz val="11"/>
    </font>
    <font>
      <name val="Calibri"/>
      <b val="1"/>
      <sz val="13"/>
    </font>
    <font>
      <name val="Calibri"/>
      <sz val="11"/>
    </font>
    <font>
      <name val="Calibri"/>
      <b val="1"/>
      <color rgb="002F5496"/>
      <sz val="10"/>
    </font>
    <font>
      <name val="Calibri"/>
      <b val="1"/>
      <color rgb="009C0006"/>
      <sz val="10"/>
    </font>
    <font>
      <name val="Calibri"/>
      <b val="1"/>
      <color rgb="009C0006"/>
      <sz val="13"/>
    </font>
    <font>
      <name val="Calibri"/>
      <b val="1"/>
      <color rgb="00006100"/>
      <sz val="10"/>
    </font>
  </fonts>
  <fills count="15">
    <fill>
      <patternFill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5096"/>
        <bgColor rgb="FF1F3864"/>
      </patternFill>
    </fill>
    <fill>
      <patternFill patternType="solid">
        <fgColor rgb="FFEBF3FB"/>
        <bgColor rgb="FFF2F2F2"/>
      </patternFill>
    </fill>
    <fill>
      <patternFill patternType="solid">
        <fgColor rgb="FFD6E4F0"/>
        <bgColor rgb="FFE2EFDA"/>
      </patternFill>
    </fill>
    <fill>
      <patternFill patternType="solid">
        <fgColor rgb="FFF2F2F2"/>
        <bgColor rgb="FFEBF3FB"/>
      </patternFill>
    </fill>
    <fill>
      <patternFill patternType="solid">
        <fgColor rgb="FF375623"/>
        <bgColor rgb="FF555555"/>
      </patternFill>
    </fill>
    <fill>
      <patternFill patternType="solid">
        <fgColor rgb="FFE2EFDA"/>
        <bgColor rgb="FFF2F2F2"/>
      </patternFill>
    </fill>
    <fill>
      <patternFill patternType="solid">
        <fgColor rgb="FFFFFACD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rgb="002F5496"/>
      </patternFill>
    </fill>
    <fill>
      <patternFill patternType="solid">
        <fgColor rgb="00C6EFCE"/>
      </patternFill>
    </fill>
    <fill>
      <patternFill patternType="solid">
        <fgColor rgb="00BDD7EE"/>
      </patternFill>
    </fill>
    <fill>
      <patternFill patternType="solid">
        <fgColor rgb="00FFC7CE"/>
      </patternFill>
    </fill>
  </fills>
  <borders count="5">
    <border>
      <left/>
      <right/>
      <top/>
      <bottom/>
      <diagonal/>
    </border>
    <border>
      <left/>
      <right/>
      <top style="thin"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top style="double">
        <color rgb="00000000"/>
      </top>
      <bottom style="double">
        <color rgb="00000000"/>
      </bottom>
    </border>
    <border>
      <bottom style="thin">
        <color rgb="00D9D9D9"/>
      </bottom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34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3" borderId="0" applyAlignment="1" pivotButton="0" quotePrefix="0" xfId="0">
      <alignment horizontal="left" vertical="center"/>
    </xf>
    <xf numFmtId="0" fontId="6" fillId="0" borderId="0" applyAlignment="1" pivotButton="0" quotePrefix="0" xfId="0">
      <alignment horizontal="left" vertical="center"/>
    </xf>
    <xf numFmtId="49" fontId="7" fillId="4" borderId="0" applyAlignment="1" pivotButton="0" quotePrefix="0" xfId="0">
      <alignment horizontal="right" vertical="center"/>
    </xf>
    <xf numFmtId="0" fontId="8" fillId="0" borderId="0" applyAlignment="1" pivotButton="0" quotePrefix="0" xfId="0">
      <alignment horizontal="left" vertical="center"/>
    </xf>
    <xf numFmtId="164" fontId="7" fillId="4" borderId="0" applyAlignment="1" pivotButton="0" quotePrefix="0" xfId="0">
      <alignment horizontal="right" vertical="center"/>
    </xf>
    <xf numFmtId="165" fontId="7" fillId="4" borderId="0" applyAlignment="1" pivotButton="0" quotePrefix="0" xfId="0">
      <alignment horizontal="right" vertical="center"/>
    </xf>
    <xf numFmtId="166" fontId="7" fillId="4" borderId="0" applyAlignment="1" pivotButton="0" quotePrefix="0" xfId="0">
      <alignment horizontal="right" vertical="center"/>
    </xf>
    <xf numFmtId="1" fontId="7" fillId="4" borderId="0" applyAlignment="1" pivotButton="0" quotePrefix="0" xfId="0">
      <alignment horizontal="right" vertical="center"/>
    </xf>
    <xf numFmtId="167" fontId="7" fillId="4" borderId="0" applyAlignment="1" pivotButton="0" quotePrefix="0" xfId="0">
      <alignment horizontal="right" vertical="center"/>
    </xf>
    <xf numFmtId="0" fontId="9" fillId="3" borderId="0" applyAlignment="1" pivotButton="0" quotePrefix="0" xfId="0">
      <alignment horizontal="center" vertical="center"/>
    </xf>
    <xf numFmtId="0" fontId="10" fillId="0" borderId="0" applyAlignment="1" pivotButton="0" quotePrefix="0" xfId="0">
      <alignment horizontal="left" vertical="center"/>
    </xf>
    <xf numFmtId="0" fontId="7" fillId="0" borderId="0" applyAlignment="1" pivotButton="0" quotePrefix="0" xfId="0">
      <alignment horizontal="right" vertical="center"/>
    </xf>
    <xf numFmtId="164" fontId="11" fillId="0" borderId="0" applyAlignment="1" pivotButton="0" quotePrefix="0" xfId="0">
      <alignment horizontal="right" vertical="center"/>
    </xf>
    <xf numFmtId="164" fontId="7" fillId="0" borderId="0" applyAlignment="1" pivotButton="0" quotePrefix="0" xfId="0">
      <alignment horizontal="right" vertical="center"/>
    </xf>
    <xf numFmtId="165" fontId="7" fillId="0" borderId="0" applyAlignment="1" pivotButton="0" quotePrefix="0" xfId="0">
      <alignment horizontal="right" vertical="center"/>
    </xf>
    <xf numFmtId="166" fontId="7" fillId="0" borderId="0" applyAlignment="1" pivotButton="0" quotePrefix="0" xfId="0">
      <alignment horizontal="right" vertical="center"/>
    </xf>
    <xf numFmtId="0" fontId="10" fillId="0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general" vertical="bottom"/>
    </xf>
    <xf numFmtId="164" fontId="12" fillId="0" borderId="1" applyAlignment="1" pivotButton="0" quotePrefix="0" xfId="0">
      <alignment horizontal="right" vertical="center"/>
    </xf>
    <xf numFmtId="165" fontId="12" fillId="0" borderId="1" applyAlignment="1" pivotButton="0" quotePrefix="0" xfId="0">
      <alignment horizontal="right" vertical="center"/>
    </xf>
    <xf numFmtId="166" fontId="12" fillId="0" borderId="1" applyAlignment="1" pivotButton="0" quotePrefix="0" xfId="0">
      <alignment horizontal="right" vertical="center"/>
    </xf>
    <xf numFmtId="0" fontId="9" fillId="3" borderId="2" applyAlignment="1" pivotButton="0" quotePrefix="0" xfId="0">
      <alignment horizontal="center" vertical="center"/>
    </xf>
    <xf numFmtId="0" fontId="9" fillId="2" borderId="2" applyAlignment="1" pivotButton="0" quotePrefix="0" xfId="0">
      <alignment horizontal="center" vertical="center"/>
    </xf>
    <xf numFmtId="168" fontId="10" fillId="0" borderId="0" applyAlignment="1" pivotButton="0" quotePrefix="0" xfId="0">
      <alignment horizontal="right" vertical="center"/>
    </xf>
    <xf numFmtId="168" fontId="10" fillId="5" borderId="0" applyAlignment="1" pivotButton="0" quotePrefix="0" xfId="0">
      <alignment horizontal="right" vertical="center"/>
    </xf>
    <xf numFmtId="0" fontId="13" fillId="0" borderId="0" applyAlignment="1" pivotButton="0" quotePrefix="0" xfId="0">
      <alignment horizontal="left" vertical="center"/>
    </xf>
    <xf numFmtId="0" fontId="6" fillId="6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168" fontId="6" fillId="0" borderId="0" applyAlignment="1" pivotButton="0" quotePrefix="0" xfId="0">
      <alignment horizontal="right" vertical="center"/>
    </xf>
    <xf numFmtId="168" fontId="6" fillId="5" borderId="0" applyAlignment="1" pivotButton="0" quotePrefix="0" xfId="0">
      <alignment horizontal="right" vertical="center"/>
    </xf>
    <xf numFmtId="0" fontId="14" fillId="0" borderId="0" applyAlignment="1" pivotButton="0" quotePrefix="0" xfId="0">
      <alignment horizontal="left" vertical="center"/>
    </xf>
    <xf numFmtId="165" fontId="15" fillId="0" borderId="0" applyAlignment="1" pivotButton="0" quotePrefix="0" xfId="0">
      <alignment horizontal="right" vertical="center"/>
    </xf>
    <xf numFmtId="165" fontId="15" fillId="5" borderId="0" applyAlignment="1" pivotButton="0" quotePrefix="0" xfId="0">
      <alignment horizontal="right" vertical="center"/>
    </xf>
    <xf numFmtId="0" fontId="6" fillId="0" borderId="0" applyAlignment="1" pivotButton="0" quotePrefix="0" xfId="0">
      <alignment horizontal="right" vertical="center"/>
    </xf>
    <xf numFmtId="0" fontId="6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right" vertical="center"/>
    </xf>
    <xf numFmtId="168" fontId="15" fillId="0" borderId="0" applyAlignment="1" pivotButton="0" quotePrefix="0" xfId="0">
      <alignment horizontal="right" vertical="center"/>
    </xf>
    <xf numFmtId="168" fontId="15" fillId="5" borderId="0" applyAlignment="1" pivotButton="0" quotePrefix="0" xfId="0">
      <alignment horizontal="right" vertical="center"/>
    </xf>
    <xf numFmtId="0" fontId="16" fillId="2" borderId="0" applyAlignment="1" pivotButton="0" quotePrefix="0" xfId="0">
      <alignment horizontal="left" vertical="center"/>
    </xf>
    <xf numFmtId="0" fontId="0" fillId="2" borderId="0" applyAlignment="1" pivotButton="0" quotePrefix="0" xfId="0">
      <alignment horizontal="general" vertical="bottom"/>
    </xf>
    <xf numFmtId="0" fontId="17" fillId="0" borderId="0" applyAlignment="1" pivotButton="0" quotePrefix="0" xfId="0">
      <alignment horizontal="general" vertical="bottom"/>
    </xf>
    <xf numFmtId="169" fontId="13" fillId="5" borderId="0" applyAlignment="1" pivotButton="0" quotePrefix="0" xfId="0">
      <alignment horizontal="right" vertical="center"/>
    </xf>
    <xf numFmtId="0" fontId="5" fillId="3" borderId="0" applyAlignment="1" pivotButton="0" quotePrefix="0" xfId="0">
      <alignment horizontal="right" vertical="center"/>
    </xf>
    <xf numFmtId="0" fontId="0" fillId="3" borderId="0" applyAlignment="1" pivotButton="0" quotePrefix="0" xfId="0">
      <alignment horizontal="general" vertical="bottom"/>
    </xf>
    <xf numFmtId="0" fontId="0" fillId="6" borderId="0" applyAlignment="1" pivotButton="0" quotePrefix="0" xfId="0">
      <alignment horizontal="general" vertical="bottom"/>
    </xf>
    <xf numFmtId="168" fontId="18" fillId="0" borderId="0" applyAlignment="1" pivotButton="0" quotePrefix="0" xfId="0">
      <alignment horizontal="right" vertical="center"/>
    </xf>
    <xf numFmtId="168" fontId="18" fillId="5" borderId="0" applyAlignment="1" pivotButton="0" quotePrefix="0" xfId="0">
      <alignment horizontal="right" vertical="center"/>
    </xf>
    <xf numFmtId="0" fontId="5" fillId="2" borderId="0" applyAlignment="1" pivotButton="0" quotePrefix="0" xfId="0">
      <alignment horizontal="left" vertical="center"/>
    </xf>
    <xf numFmtId="168" fontId="5" fillId="2" borderId="0" applyAlignment="1" pivotButton="0" quotePrefix="0" xfId="0">
      <alignment horizontal="right" vertical="center"/>
    </xf>
    <xf numFmtId="0" fontId="5" fillId="7" borderId="0" applyAlignment="1" pivotButton="0" quotePrefix="0" xfId="0">
      <alignment horizontal="left" vertical="center"/>
    </xf>
    <xf numFmtId="0" fontId="0" fillId="7" borderId="0" applyAlignment="1" pivotButton="0" quotePrefix="0" xfId="0">
      <alignment horizontal="general" vertical="bottom"/>
    </xf>
    <xf numFmtId="170" fontId="10" fillId="0" borderId="0" applyAlignment="1" pivotButton="0" quotePrefix="0" xfId="0">
      <alignment horizontal="right" vertical="center"/>
    </xf>
    <xf numFmtId="170" fontId="10" fillId="5" borderId="0" applyAlignment="1" pivotButton="0" quotePrefix="0" xfId="0">
      <alignment horizontal="right" vertical="center"/>
    </xf>
    <xf numFmtId="0" fontId="9" fillId="2" borderId="0" applyAlignment="1" pivotButton="0" quotePrefix="0" xfId="0">
      <alignment horizontal="center" vertical="center"/>
    </xf>
    <xf numFmtId="0" fontId="10" fillId="8" borderId="0" applyAlignment="1" pivotButton="0" quotePrefix="0" xfId="0">
      <alignment horizontal="left" vertical="center"/>
    </xf>
    <xf numFmtId="168" fontId="10" fillId="8" borderId="0" applyAlignment="1" pivotButton="0" quotePrefix="0" xfId="0">
      <alignment horizontal="right" vertical="center"/>
    </xf>
    <xf numFmtId="0" fontId="19" fillId="0" borderId="0" applyAlignment="1" pivotButton="0" quotePrefix="0" xfId="0">
      <alignment horizontal="left" vertical="center"/>
    </xf>
    <xf numFmtId="0" fontId="10" fillId="5" borderId="0" applyAlignment="1" pivotButton="0" quotePrefix="0" xfId="0">
      <alignment horizontal="left" vertical="center"/>
    </xf>
    <xf numFmtId="168" fontId="20" fillId="5" borderId="0" applyAlignment="1" pivotButton="0" quotePrefix="0" xfId="0">
      <alignment horizontal="right" vertical="center"/>
    </xf>
    <xf numFmtId="0" fontId="10" fillId="9" borderId="0" applyAlignment="1" pivotButton="0" quotePrefix="0" xfId="0">
      <alignment horizontal="left" vertical="center"/>
    </xf>
    <xf numFmtId="168" fontId="10" fillId="9" borderId="0" applyAlignment="1" pivotButton="0" quotePrefix="0" xfId="0">
      <alignment horizontal="right" vertical="center"/>
    </xf>
    <xf numFmtId="168" fontId="11" fillId="0" borderId="0" applyAlignment="1" pivotButton="0" quotePrefix="0" xfId="0">
      <alignment horizontal="right" vertical="center"/>
    </xf>
    <xf numFmtId="166" fontId="10" fillId="0" borderId="0" applyAlignment="1" pivotButton="0" quotePrefix="0" xfId="0">
      <alignment horizontal="right" vertical="center"/>
    </xf>
    <xf numFmtId="171" fontId="10" fillId="0" borderId="0" applyAlignment="1" pivotButton="0" quotePrefix="0" xfId="0">
      <alignment horizontal="right" vertical="center"/>
    </xf>
    <xf numFmtId="171" fontId="6" fillId="0" borderId="0" applyAlignment="1" pivotButton="0" quotePrefix="0" xfId="0">
      <alignment horizontal="right" vertical="center"/>
    </xf>
    <xf numFmtId="0" fontId="10" fillId="5" borderId="0" applyAlignment="1" pivotButton="0" quotePrefix="0" xfId="0">
      <alignment horizontal="center" vertical="center"/>
    </xf>
    <xf numFmtId="166" fontId="6" fillId="0" borderId="0" applyAlignment="1" pivotButton="0" quotePrefix="0" xfId="0">
      <alignment horizontal="right" vertical="center"/>
    </xf>
    <xf numFmtId="166" fontId="10" fillId="9" borderId="0" applyAlignment="1" pivotButton="0" quotePrefix="0" xfId="0">
      <alignment horizontal="right" vertical="center"/>
    </xf>
    <xf numFmtId="0" fontId="13" fillId="6" borderId="0" applyAlignment="1" pivotButton="0" quotePrefix="0" xfId="0">
      <alignment horizontal="left" vertical="center"/>
    </xf>
    <xf numFmtId="0" fontId="21" fillId="6" borderId="0" applyAlignment="1" pivotButton="0" quotePrefix="0" xfId="0">
      <alignment horizontal="left" vertical="center"/>
    </xf>
    <xf numFmtId="9" fontId="5" fillId="2" borderId="0" applyAlignment="1" pivotButton="0" quotePrefix="0" xfId="0">
      <alignment horizontal="right" vertical="center"/>
    </xf>
    <xf numFmtId="9" fontId="6" fillId="0" borderId="0" applyAlignment="1" pivotButton="0" quotePrefix="0" xfId="0">
      <alignment horizontal="right" vertical="center"/>
    </xf>
    <xf numFmtId="9" fontId="10" fillId="9" borderId="0" applyAlignment="1" pivotButton="0" quotePrefix="0" xfId="0">
      <alignment horizontal="right" vertical="center"/>
    </xf>
    <xf numFmtId="0" fontId="10" fillId="6" borderId="0" applyAlignment="1" pivotButton="0" quotePrefix="0" xfId="0">
      <alignment horizontal="left" vertical="center"/>
    </xf>
    <xf numFmtId="0" fontId="6" fillId="6" borderId="0" applyAlignment="1" pivotButton="0" quotePrefix="0" xfId="0">
      <alignment horizontal="left" vertical="center"/>
    </xf>
    <xf numFmtId="0" fontId="6" fillId="6" borderId="0" applyAlignment="1" pivotButton="0" quotePrefix="0" xfId="0">
      <alignment horizontal="left" vertical="center" wrapText="1"/>
    </xf>
    <xf numFmtId="0" fontId="10" fillId="10" borderId="0" applyAlignment="1" pivotButton="0" quotePrefix="0" xfId="0">
      <alignment horizontal="left" vertical="center"/>
    </xf>
    <xf numFmtId="0" fontId="6" fillId="10" borderId="0" applyAlignment="1" pivotButton="0" quotePrefix="0" xfId="0">
      <alignment horizontal="left" vertical="center"/>
    </xf>
    <xf numFmtId="0" fontId="6" fillId="10" borderId="0" applyAlignment="1" pivotButton="0" quotePrefix="0" xfId="0">
      <alignment horizontal="left" vertical="center" wrapText="1"/>
    </xf>
    <xf numFmtId="164" fontId="6" fillId="6" borderId="0" applyAlignment="1" pivotButton="0" quotePrefix="0" xfId="0">
      <alignment horizontal="right" vertical="center"/>
    </xf>
    <xf numFmtId="165" fontId="6" fillId="10" borderId="0" applyAlignment="1" pivotButton="0" quotePrefix="0" xfId="0">
      <alignment horizontal="right" vertical="center"/>
    </xf>
    <xf numFmtId="165" fontId="6" fillId="6" borderId="0" applyAlignment="1" pivotButton="0" quotePrefix="0" xfId="0">
      <alignment horizontal="right" vertical="center"/>
    </xf>
    <xf numFmtId="165" fontId="10" fillId="10" borderId="0" applyAlignment="1" pivotButton="0" quotePrefix="0" xfId="0">
      <alignment horizontal="right" vertical="center"/>
    </xf>
    <xf numFmtId="165" fontId="10" fillId="8" borderId="0" applyAlignment="1" pivotButton="0" quotePrefix="0" xfId="0">
      <alignment horizontal="right" vertical="center"/>
    </xf>
    <xf numFmtId="164" fontId="10" fillId="8" borderId="0" applyAlignment="1" pivotButton="0" quotePrefix="0" xfId="0">
      <alignment horizontal="right" vertical="center"/>
    </xf>
    <xf numFmtId="0" fontId="15" fillId="0" borderId="0" applyAlignment="1" pivotButton="0" quotePrefix="0" xfId="0">
      <alignment horizontal="left" vertical="center"/>
    </xf>
    <xf numFmtId="0" fontId="22" fillId="0" borderId="0" applyAlignment="1" pivotButton="0" quotePrefix="0" xfId="0">
      <alignment horizontal="center" vertical="center"/>
    </xf>
    <xf numFmtId="0" fontId="23" fillId="0" borderId="0" applyAlignment="1" pivotButton="0" quotePrefix="0" xfId="0">
      <alignment horizontal="left" vertical="center"/>
    </xf>
    <xf numFmtId="171" fontId="24" fillId="0" borderId="0" applyAlignment="1" pivotButton="0" quotePrefix="0" xfId="0">
      <alignment horizontal="right" vertical="center"/>
    </xf>
    <xf numFmtId="171" fontId="24" fillId="5" borderId="0" applyAlignment="1" pivotButton="0" quotePrefix="0" xfId="0">
      <alignment horizontal="right" vertical="center"/>
    </xf>
    <xf numFmtId="0" fontId="25" fillId="0" borderId="0" applyAlignment="1" pivotButton="0" quotePrefix="0" xfId="0">
      <alignment horizontal="left" vertical="center"/>
    </xf>
    <xf numFmtId="171" fontId="6" fillId="5" borderId="0" applyAlignment="1" pivotButton="0" quotePrefix="0" xfId="0">
      <alignment horizontal="right" vertical="center"/>
    </xf>
    <xf numFmtId="1" fontId="22" fillId="0" borderId="0" applyAlignment="1" pivotButton="0" quotePrefix="0" xfId="0">
      <alignment horizontal="center" vertical="center"/>
    </xf>
    <xf numFmtId="166" fontId="10" fillId="5" borderId="0" applyAlignment="1" pivotButton="0" quotePrefix="0" xfId="0">
      <alignment horizontal="right" vertical="center"/>
    </xf>
    <xf numFmtId="0" fontId="26" fillId="0" borderId="0" applyAlignment="1" pivotButton="0" quotePrefix="0" xfId="0">
      <alignment horizontal="left" vertical="center"/>
    </xf>
    <xf numFmtId="166" fontId="26" fillId="0" borderId="0" applyAlignment="1" pivotButton="0" quotePrefix="0" xfId="0">
      <alignment horizontal="right" vertical="center"/>
    </xf>
    <xf numFmtId="166" fontId="26" fillId="5" borderId="0" applyAlignment="1" pivotButton="0" quotePrefix="0" xfId="0">
      <alignment horizontal="right" vertical="center"/>
    </xf>
    <xf numFmtId="0" fontId="17" fillId="0" borderId="0" applyAlignment="1" pivotButton="0" quotePrefix="0" xfId="0">
      <alignment horizontal="left" vertical="center"/>
    </xf>
    <xf numFmtId="172" fontId="27" fillId="0" borderId="0" applyAlignment="1" pivotButton="0" quotePrefix="0" xfId="0">
      <alignment horizontal="right" vertical="center"/>
    </xf>
    <xf numFmtId="171" fontId="27" fillId="0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left" vertical="center"/>
    </xf>
    <xf numFmtId="0" fontId="5" fillId="3" borderId="0" applyAlignment="1" pivotButton="0" quotePrefix="0" xfId="0">
      <alignment horizontal="left" vertical="center"/>
    </xf>
    <xf numFmtId="0" fontId="6" fillId="0" borderId="0" applyAlignment="1" pivotButton="0" quotePrefix="0" xfId="0">
      <alignment horizontal="left" vertical="center"/>
    </xf>
    <xf numFmtId="49" fontId="7" fillId="4" borderId="0" applyAlignment="1" pivotButton="0" quotePrefix="0" xfId="0">
      <alignment horizontal="right" vertical="center"/>
    </xf>
    <xf numFmtId="0" fontId="8" fillId="0" borderId="0" applyAlignment="1" pivotButton="0" quotePrefix="0" xfId="0">
      <alignment horizontal="left" vertical="center"/>
    </xf>
    <xf numFmtId="164" fontId="7" fillId="4" borderId="0" applyAlignment="1" pivotButton="0" quotePrefix="0" xfId="0">
      <alignment horizontal="right" vertical="center"/>
    </xf>
    <xf numFmtId="165" fontId="7" fillId="4" borderId="0" applyAlignment="1" pivotButton="0" quotePrefix="0" xfId="0">
      <alignment horizontal="right" vertical="center"/>
    </xf>
    <xf numFmtId="166" fontId="7" fillId="4" borderId="0" applyAlignment="1" pivotButton="0" quotePrefix="0" xfId="0">
      <alignment horizontal="right" vertical="center"/>
    </xf>
    <xf numFmtId="1" fontId="7" fillId="4" borderId="0" applyAlignment="1" pivotButton="0" quotePrefix="0" xfId="0">
      <alignment horizontal="right" vertical="center"/>
    </xf>
    <xf numFmtId="167" fontId="7" fillId="4" borderId="0" applyAlignment="1" pivotButton="0" quotePrefix="0" xfId="0">
      <alignment horizontal="right" vertical="center"/>
    </xf>
    <xf numFmtId="0" fontId="9" fillId="3" borderId="0" applyAlignment="1" pivotButton="0" quotePrefix="0" xfId="0">
      <alignment horizontal="center" vertical="center"/>
    </xf>
    <xf numFmtId="0" fontId="10" fillId="0" borderId="0" applyAlignment="1" pivotButton="0" quotePrefix="0" xfId="0">
      <alignment horizontal="left" vertical="center"/>
    </xf>
    <xf numFmtId="0" fontId="7" fillId="0" borderId="0" applyAlignment="1" pivotButton="0" quotePrefix="0" xfId="0">
      <alignment horizontal="right" vertical="center"/>
    </xf>
    <xf numFmtId="164" fontId="11" fillId="0" borderId="0" applyAlignment="1" pivotButton="0" quotePrefix="0" xfId="0">
      <alignment horizontal="right" vertical="center"/>
    </xf>
    <xf numFmtId="0" fontId="30" fillId="0" borderId="0" applyAlignment="1" pivotButton="0" quotePrefix="0" xfId="0">
      <alignment horizontal="left" vertical="center"/>
    </xf>
    <xf numFmtId="164" fontId="7" fillId="0" borderId="0" applyAlignment="1" pivotButton="0" quotePrefix="0" xfId="0">
      <alignment horizontal="right" vertical="center"/>
    </xf>
    <xf numFmtId="165" fontId="7" fillId="0" borderId="0" applyAlignment="1" pivotButton="0" quotePrefix="0" xfId="0">
      <alignment horizontal="right" vertical="center"/>
    </xf>
    <xf numFmtId="166" fontId="7" fillId="0" borderId="0" applyAlignment="1" pivotButton="0" quotePrefix="0" xfId="0">
      <alignment horizontal="right" vertical="center"/>
    </xf>
    <xf numFmtId="0" fontId="10" fillId="0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general" vertical="bottom"/>
    </xf>
    <xf numFmtId="164" fontId="12" fillId="0" borderId="1" applyAlignment="1" pivotButton="0" quotePrefix="0" xfId="0">
      <alignment horizontal="right" vertical="center"/>
    </xf>
    <xf numFmtId="165" fontId="12" fillId="0" borderId="1" applyAlignment="1" pivotButton="0" quotePrefix="0" xfId="0">
      <alignment horizontal="right" vertical="center"/>
    </xf>
    <xf numFmtId="166" fontId="12" fillId="0" borderId="1" applyAlignment="1" pivotButton="0" quotePrefix="0" xfId="0">
      <alignment horizontal="right" vertical="center"/>
    </xf>
    <xf numFmtId="0" fontId="28" fillId="0" borderId="0" pivotButton="0" quotePrefix="0" xfId="0"/>
    <xf numFmtId="173" fontId="0" fillId="0" borderId="0" pivotButton="0" quotePrefix="0" xfId="0"/>
    <xf numFmtId="0" fontId="29" fillId="0" borderId="0" pivotButton="0" quotePrefix="0" xfId="0"/>
    <xf numFmtId="9" fontId="0" fillId="0" borderId="0" pivotButton="0" quotePrefix="0" xfId="0"/>
    <xf numFmtId="0" fontId="36" fillId="0" borderId="0" pivotButton="0" quotePrefix="0" xfId="0"/>
    <xf numFmtId="0" fontId="37" fillId="0" borderId="0" pivotButton="0" quotePrefix="0" xfId="0"/>
    <xf numFmtId="0" fontId="38" fillId="0" borderId="0" pivotButton="0" quotePrefix="0" xfId="0"/>
    <xf numFmtId="0" fontId="32" fillId="11" borderId="0" pivotButton="0" quotePrefix="0" xfId="0"/>
    <xf numFmtId="0" fontId="39" fillId="0" borderId="4" pivotButton="0" quotePrefix="0" xfId="0"/>
    <xf numFmtId="173" fontId="39" fillId="0" borderId="4" applyAlignment="1" pivotButton="0" quotePrefix="0" xfId="0">
      <alignment horizontal="right"/>
    </xf>
    <xf numFmtId="0" fontId="28" fillId="0" borderId="3" pivotButton="0" quotePrefix="0" xfId="0"/>
    <xf numFmtId="173" fontId="28" fillId="0" borderId="3" applyAlignment="1" pivotButton="0" quotePrefix="0" xfId="0">
      <alignment horizontal="right"/>
    </xf>
    <xf numFmtId="0" fontId="40" fillId="0" borderId="0" pivotButton="0" quotePrefix="0" xfId="0"/>
    <xf numFmtId="0" fontId="34" fillId="13" borderId="4" pivotButton="0" quotePrefix="0" xfId="0"/>
    <xf numFmtId="173" fontId="34" fillId="13" borderId="4" applyAlignment="1" pivotButton="0" quotePrefix="0" xfId="0">
      <alignment horizontal="right"/>
    </xf>
    <xf numFmtId="0" fontId="41" fillId="0" borderId="0" pivotButton="0" quotePrefix="0" xfId="0"/>
    <xf numFmtId="0" fontId="42" fillId="0" borderId="0" pivotButton="0" quotePrefix="0" xfId="0"/>
    <xf numFmtId="0" fontId="35" fillId="14" borderId="0" pivotButton="0" quotePrefix="0" xfId="0"/>
    <xf numFmtId="0" fontId="43" fillId="0" borderId="0" pivotButton="0" quotePrefix="0" xfId="0"/>
    <xf numFmtId="173" fontId="28" fillId="0" borderId="4" applyAlignment="1" pivotButton="0" quotePrefix="0" xfId="0">
      <alignment horizontal="right"/>
    </xf>
    <xf numFmtId="1" fontId="28" fillId="0" borderId="4" applyAlignment="1" pivotButton="0" quotePrefix="0" xfId="0">
      <alignment horizontal="right"/>
    </xf>
    <xf numFmtId="0" fontId="9" fillId="3" borderId="2" applyAlignment="1" pivotButton="0" quotePrefix="0" xfId="0">
      <alignment horizontal="center" vertical="center"/>
    </xf>
    <xf numFmtId="0" fontId="9" fillId="2" borderId="2" applyAlignment="1" pivotButton="0" quotePrefix="0" xfId="0">
      <alignment horizontal="center" vertical="center"/>
    </xf>
    <xf numFmtId="168" fontId="10" fillId="0" borderId="0" applyAlignment="1" pivotButton="0" quotePrefix="0" xfId="0">
      <alignment horizontal="right" vertical="center"/>
    </xf>
    <xf numFmtId="168" fontId="10" fillId="5" borderId="0" applyAlignment="1" pivotButton="0" quotePrefix="0" xfId="0">
      <alignment horizontal="right" vertical="center"/>
    </xf>
    <xf numFmtId="0" fontId="13" fillId="0" borderId="0" applyAlignment="1" pivotButton="0" quotePrefix="0" xfId="0">
      <alignment horizontal="left" vertical="center"/>
    </xf>
    <xf numFmtId="0" fontId="6" fillId="6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168" fontId="6" fillId="0" borderId="0" applyAlignment="1" pivotButton="0" quotePrefix="0" xfId="0">
      <alignment horizontal="right" vertical="center"/>
    </xf>
    <xf numFmtId="168" fontId="6" fillId="5" borderId="0" applyAlignment="1" pivotButton="0" quotePrefix="0" xfId="0">
      <alignment horizontal="right" vertical="center"/>
    </xf>
    <xf numFmtId="0" fontId="14" fillId="0" borderId="0" applyAlignment="1" pivotButton="0" quotePrefix="0" xfId="0">
      <alignment horizontal="left" vertical="center"/>
    </xf>
    <xf numFmtId="165" fontId="15" fillId="0" borderId="0" applyAlignment="1" pivotButton="0" quotePrefix="0" xfId="0">
      <alignment horizontal="right" vertical="center"/>
    </xf>
    <xf numFmtId="165" fontId="15" fillId="5" borderId="0" applyAlignment="1" pivotButton="0" quotePrefix="0" xfId="0">
      <alignment horizontal="right" vertical="center"/>
    </xf>
    <xf numFmtId="0" fontId="6" fillId="0" borderId="0" applyAlignment="1" pivotButton="0" quotePrefix="0" xfId="0">
      <alignment horizontal="right" vertical="center"/>
    </xf>
    <xf numFmtId="0" fontId="6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right" vertical="center"/>
    </xf>
    <xf numFmtId="168" fontId="15" fillId="0" borderId="0" applyAlignment="1" pivotButton="0" quotePrefix="0" xfId="0">
      <alignment horizontal="right" vertical="center"/>
    </xf>
    <xf numFmtId="168" fontId="15" fillId="5" borderId="0" applyAlignment="1" pivotButton="0" quotePrefix="0" xfId="0">
      <alignment horizontal="right" vertical="center"/>
    </xf>
    <xf numFmtId="0" fontId="16" fillId="2" borderId="0" applyAlignment="1" pivotButton="0" quotePrefix="0" xfId="0">
      <alignment horizontal="left" vertical="center"/>
    </xf>
    <xf numFmtId="0" fontId="0" fillId="2" borderId="0" applyAlignment="1" pivotButton="0" quotePrefix="0" xfId="0">
      <alignment horizontal="general" vertical="bottom"/>
    </xf>
    <xf numFmtId="0" fontId="17" fillId="0" borderId="0" applyAlignment="1" pivotButton="0" quotePrefix="0" xfId="0">
      <alignment horizontal="general" vertical="bottom"/>
    </xf>
    <xf numFmtId="169" fontId="13" fillId="5" borderId="0" applyAlignment="1" pivotButton="0" quotePrefix="0" xfId="0">
      <alignment horizontal="right" vertical="center"/>
    </xf>
    <xf numFmtId="0" fontId="5" fillId="3" borderId="0" applyAlignment="1" pivotButton="0" quotePrefix="0" xfId="0">
      <alignment horizontal="right" vertical="center"/>
    </xf>
    <xf numFmtId="0" fontId="0" fillId="3" borderId="0" applyAlignment="1" pivotButton="0" quotePrefix="0" xfId="0">
      <alignment horizontal="general" vertical="bottom"/>
    </xf>
    <xf numFmtId="0" fontId="0" fillId="6" borderId="0" applyAlignment="1" pivotButton="0" quotePrefix="0" xfId="0">
      <alignment horizontal="general" vertical="bottom"/>
    </xf>
    <xf numFmtId="168" fontId="18" fillId="0" borderId="0" applyAlignment="1" pivotButton="0" quotePrefix="0" xfId="0">
      <alignment horizontal="right" vertical="center"/>
    </xf>
    <xf numFmtId="168" fontId="18" fillId="5" borderId="0" applyAlignment="1" pivotButton="0" quotePrefix="0" xfId="0">
      <alignment horizontal="right" vertical="center"/>
    </xf>
    <xf numFmtId="0" fontId="5" fillId="2" borderId="0" applyAlignment="1" pivotButton="0" quotePrefix="0" xfId="0">
      <alignment horizontal="left" vertical="center"/>
    </xf>
    <xf numFmtId="168" fontId="5" fillId="2" borderId="0" applyAlignment="1" pivotButton="0" quotePrefix="0" xfId="0">
      <alignment horizontal="right" vertical="center"/>
    </xf>
    <xf numFmtId="0" fontId="5" fillId="7" borderId="0" applyAlignment="1" pivotButton="0" quotePrefix="0" xfId="0">
      <alignment horizontal="left" vertical="center"/>
    </xf>
    <xf numFmtId="0" fontId="0" fillId="7" borderId="0" applyAlignment="1" pivotButton="0" quotePrefix="0" xfId="0">
      <alignment horizontal="general" vertical="bottom"/>
    </xf>
    <xf numFmtId="170" fontId="10" fillId="0" borderId="0" applyAlignment="1" pivotButton="0" quotePrefix="0" xfId="0">
      <alignment horizontal="right" vertical="center"/>
    </xf>
    <xf numFmtId="170" fontId="10" fillId="5" borderId="0" applyAlignment="1" pivotButton="0" quotePrefix="0" xfId="0">
      <alignment horizontal="right" vertical="center"/>
    </xf>
    <xf numFmtId="0" fontId="9" fillId="2" borderId="0" applyAlignment="1" pivotButton="0" quotePrefix="0" xfId="0">
      <alignment horizontal="center" vertical="center"/>
    </xf>
    <xf numFmtId="0" fontId="10" fillId="8" borderId="0" applyAlignment="1" pivotButton="0" quotePrefix="0" xfId="0">
      <alignment horizontal="left" vertical="center"/>
    </xf>
    <xf numFmtId="168" fontId="10" fillId="8" borderId="0" applyAlignment="1" pivotButton="0" quotePrefix="0" xfId="0">
      <alignment horizontal="right" vertical="center"/>
    </xf>
    <xf numFmtId="0" fontId="19" fillId="0" borderId="0" applyAlignment="1" pivotButton="0" quotePrefix="0" xfId="0">
      <alignment horizontal="left" vertical="center"/>
    </xf>
    <xf numFmtId="0" fontId="10" fillId="5" borderId="0" applyAlignment="1" pivotButton="0" quotePrefix="0" xfId="0">
      <alignment horizontal="left" vertical="center"/>
    </xf>
    <xf numFmtId="168" fontId="20" fillId="5" borderId="0" applyAlignment="1" pivotButton="0" quotePrefix="0" xfId="0">
      <alignment horizontal="right" vertical="center"/>
    </xf>
    <xf numFmtId="0" fontId="10" fillId="9" borderId="0" applyAlignment="1" pivotButton="0" quotePrefix="0" xfId="0">
      <alignment horizontal="left" vertical="center"/>
    </xf>
    <xf numFmtId="168" fontId="10" fillId="9" borderId="0" applyAlignment="1" pivotButton="0" quotePrefix="0" xfId="0">
      <alignment horizontal="right" vertical="center"/>
    </xf>
    <xf numFmtId="168" fontId="11" fillId="0" borderId="0" applyAlignment="1" pivotButton="0" quotePrefix="0" xfId="0">
      <alignment horizontal="right" vertical="center"/>
    </xf>
    <xf numFmtId="166" fontId="10" fillId="0" borderId="0" applyAlignment="1" pivotButton="0" quotePrefix="0" xfId="0">
      <alignment horizontal="right" vertical="center"/>
    </xf>
    <xf numFmtId="171" fontId="10" fillId="0" borderId="0" applyAlignment="1" pivotButton="0" quotePrefix="0" xfId="0">
      <alignment horizontal="right" vertical="center"/>
    </xf>
    <xf numFmtId="171" fontId="6" fillId="0" borderId="0" applyAlignment="1" pivotButton="0" quotePrefix="0" xfId="0">
      <alignment horizontal="right" vertical="center"/>
    </xf>
    <xf numFmtId="0" fontId="10" fillId="5" borderId="0" applyAlignment="1" pivotButton="0" quotePrefix="0" xfId="0">
      <alignment horizontal="center" vertical="center"/>
    </xf>
    <xf numFmtId="166" fontId="6" fillId="0" borderId="0" applyAlignment="1" pivotButton="0" quotePrefix="0" xfId="0">
      <alignment horizontal="right" vertical="center"/>
    </xf>
    <xf numFmtId="166" fontId="10" fillId="9" borderId="0" applyAlignment="1" pivotButton="0" quotePrefix="0" xfId="0">
      <alignment horizontal="right" vertical="center"/>
    </xf>
    <xf numFmtId="0" fontId="13" fillId="6" borderId="0" applyAlignment="1" pivotButton="0" quotePrefix="0" xfId="0">
      <alignment horizontal="left" vertical="center"/>
    </xf>
    <xf numFmtId="0" fontId="21" fillId="6" borderId="0" applyAlignment="1" pivotButton="0" quotePrefix="0" xfId="0">
      <alignment horizontal="left" vertical="center"/>
    </xf>
    <xf numFmtId="9" fontId="5" fillId="2" borderId="0" applyAlignment="1" pivotButton="0" quotePrefix="0" xfId="0">
      <alignment horizontal="right" vertical="center"/>
    </xf>
    <xf numFmtId="9" fontId="6" fillId="0" borderId="0" applyAlignment="1" pivotButton="0" quotePrefix="0" xfId="0">
      <alignment horizontal="right" vertical="center"/>
    </xf>
    <xf numFmtId="9" fontId="10" fillId="9" borderId="0" applyAlignment="1" pivotButton="0" quotePrefix="0" xfId="0">
      <alignment horizontal="right" vertical="center"/>
    </xf>
    <xf numFmtId="0" fontId="10" fillId="6" borderId="0" applyAlignment="1" pivotButton="0" quotePrefix="0" xfId="0">
      <alignment horizontal="left" vertical="center"/>
    </xf>
    <xf numFmtId="0" fontId="6" fillId="6" borderId="0" applyAlignment="1" pivotButton="0" quotePrefix="0" xfId="0">
      <alignment horizontal="left" vertical="center"/>
    </xf>
    <xf numFmtId="0" fontId="6" fillId="6" borderId="0" applyAlignment="1" pivotButton="0" quotePrefix="0" xfId="0">
      <alignment horizontal="left" vertical="center" wrapText="1"/>
    </xf>
    <xf numFmtId="0" fontId="10" fillId="10" borderId="0" applyAlignment="1" pivotButton="0" quotePrefix="0" xfId="0">
      <alignment horizontal="left" vertical="center"/>
    </xf>
    <xf numFmtId="0" fontId="6" fillId="10" borderId="0" applyAlignment="1" pivotButton="0" quotePrefix="0" xfId="0">
      <alignment horizontal="left" vertical="center"/>
    </xf>
    <xf numFmtId="0" fontId="6" fillId="10" borderId="0" applyAlignment="1" pivotButton="0" quotePrefix="0" xfId="0">
      <alignment horizontal="left" vertical="center" wrapText="1"/>
    </xf>
    <xf numFmtId="164" fontId="6" fillId="6" borderId="0" applyAlignment="1" pivotButton="0" quotePrefix="0" xfId="0">
      <alignment horizontal="right" vertical="center"/>
    </xf>
    <xf numFmtId="165" fontId="6" fillId="10" borderId="0" applyAlignment="1" pivotButton="0" quotePrefix="0" xfId="0">
      <alignment horizontal="right" vertical="center"/>
    </xf>
    <xf numFmtId="165" fontId="6" fillId="6" borderId="0" applyAlignment="1" pivotButton="0" quotePrefix="0" xfId="0">
      <alignment horizontal="right" vertical="center"/>
    </xf>
    <xf numFmtId="165" fontId="10" fillId="10" borderId="0" applyAlignment="1" pivotButton="0" quotePrefix="0" xfId="0">
      <alignment horizontal="right" vertical="center"/>
    </xf>
    <xf numFmtId="165" fontId="10" fillId="8" borderId="0" applyAlignment="1" pivotButton="0" quotePrefix="0" xfId="0">
      <alignment horizontal="right" vertical="center"/>
    </xf>
    <xf numFmtId="164" fontId="10" fillId="8" borderId="0" applyAlignment="1" pivotButton="0" quotePrefix="0" xfId="0">
      <alignment horizontal="right" vertical="center"/>
    </xf>
    <xf numFmtId="0" fontId="15" fillId="0" borderId="0" applyAlignment="1" pivotButton="0" quotePrefix="0" xfId="0">
      <alignment horizontal="left" vertical="center"/>
    </xf>
    <xf numFmtId="0" fontId="22" fillId="0" borderId="0" applyAlignment="1" pivotButton="0" quotePrefix="0" xfId="0">
      <alignment horizontal="center" vertical="center"/>
    </xf>
    <xf numFmtId="0" fontId="23" fillId="0" borderId="0" applyAlignment="1" pivotButton="0" quotePrefix="0" xfId="0">
      <alignment horizontal="left" vertical="center"/>
    </xf>
    <xf numFmtId="171" fontId="24" fillId="0" borderId="0" applyAlignment="1" pivotButton="0" quotePrefix="0" xfId="0">
      <alignment horizontal="right" vertical="center"/>
    </xf>
    <xf numFmtId="171" fontId="24" fillId="5" borderId="0" applyAlignment="1" pivotButton="0" quotePrefix="0" xfId="0">
      <alignment horizontal="right" vertical="center"/>
    </xf>
    <xf numFmtId="0" fontId="25" fillId="0" borderId="0" applyAlignment="1" pivotButton="0" quotePrefix="0" xfId="0">
      <alignment horizontal="left" vertical="center"/>
    </xf>
    <xf numFmtId="171" fontId="6" fillId="5" borderId="0" applyAlignment="1" pivotButton="0" quotePrefix="0" xfId="0">
      <alignment horizontal="right" vertical="center"/>
    </xf>
    <xf numFmtId="1" fontId="22" fillId="0" borderId="0" applyAlignment="1" pivotButton="0" quotePrefix="0" xfId="0">
      <alignment horizontal="center" vertical="center"/>
    </xf>
    <xf numFmtId="174" fontId="6" fillId="0" borderId="0" applyAlignment="1" pivotButton="0" quotePrefix="0" xfId="0">
      <alignment horizontal="right" vertical="center"/>
    </xf>
    <xf numFmtId="174" fontId="6" fillId="5" borderId="0" applyAlignment="1" pivotButton="0" quotePrefix="0" xfId="0">
      <alignment horizontal="right" vertical="center"/>
    </xf>
    <xf numFmtId="166" fontId="10" fillId="5" borderId="0" applyAlignment="1" pivotButton="0" quotePrefix="0" xfId="0">
      <alignment horizontal="right" vertical="center"/>
    </xf>
    <xf numFmtId="0" fontId="26" fillId="0" borderId="0" applyAlignment="1" pivotButton="0" quotePrefix="0" xfId="0">
      <alignment horizontal="left" vertical="center"/>
    </xf>
    <xf numFmtId="166" fontId="26" fillId="0" borderId="0" applyAlignment="1" pivotButton="0" quotePrefix="0" xfId="0">
      <alignment horizontal="right" vertical="center"/>
    </xf>
    <xf numFmtId="166" fontId="26" fillId="5" borderId="0" applyAlignment="1" pivotButton="0" quotePrefix="0" xfId="0">
      <alignment horizontal="right" vertical="center"/>
    </xf>
    <xf numFmtId="0" fontId="31" fillId="0" borderId="0" pivotButton="0" quotePrefix="0" xfId="0"/>
    <xf numFmtId="0" fontId="33" fillId="12" borderId="0" pivotButton="0" quotePrefix="0" xfId="0"/>
    <xf numFmtId="0" fontId="34" fillId="13" borderId="0" pivotButton="0" quotePrefix="0" xfId="0"/>
    <xf numFmtId="173" fontId="28" fillId="0" borderId="3" pivotButton="0" quotePrefix="0" xfId="0"/>
    <xf numFmtId="0" fontId="17" fillId="0" borderId="0" applyAlignment="1" pivotButton="0" quotePrefix="0" xfId="0">
      <alignment horizontal="left" vertical="center"/>
    </xf>
    <xf numFmtId="172" fontId="27" fillId="0" borderId="0" applyAlignment="1" pivotButton="0" quotePrefix="0" xfId="0">
      <alignment horizontal="right" vertical="center"/>
    </xf>
    <xf numFmtId="171" fontId="27" fillId="0" borderId="0" applyAlignment="1" pivotButton="0" quotePrefix="0" xfId="0">
      <alignment horizontal="right" vertical="center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7777"/>
      <rgbColor rgb="FF800080"/>
      <rgbColor rgb="FF008080"/>
      <rgbColor rgb="FFCCCCCC"/>
      <rgbColor rgb="FF888888"/>
      <rgbColor rgb="FF5B9BD5"/>
      <rgbColor rgb="FF7030A0"/>
      <rgbColor rgb="FFFFFACD"/>
      <rgbColor rgb="FFEBF3FB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66"/>
      <rgbColor rgb="FF999999"/>
      <rgbColor rgb="FF1F3864"/>
      <rgbColor rgb="FF555555"/>
      <rgbColor rgb="FF003300"/>
      <rgbColor rgb="FF375623"/>
      <rgbColor rgb="FF843C0C"/>
      <rgbColor rgb="FF7B3F00"/>
      <rgbColor rgb="FF2E5096"/>
      <rgbColor rgb="FF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/xl/worksheets/sheet8.xml"/><Relationship Id="rId13" Type="http://schemas.openxmlformats.org/officeDocument/2006/relationships/worksheet" Target="/xl/worksheets/sheet13.xml"/><Relationship Id="rId18" Type="http://schemas.openxmlformats.org/officeDocument/2006/relationships/worksheet" Target="/xl/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/xl/worksheets/sheet3.xml"/><Relationship Id="rId21" Type="http://schemas.openxmlformats.org/officeDocument/2006/relationships/worksheet" Target="/xl/worksheets/sheet21.xml"/><Relationship Id="rId7" Type="http://schemas.openxmlformats.org/officeDocument/2006/relationships/worksheet" Target="/xl/worksheets/sheet7.xml"/><Relationship Id="rId12" Type="http://schemas.openxmlformats.org/officeDocument/2006/relationships/worksheet" Target="/xl/worksheets/sheet12.xml"/><Relationship Id="rId17" Type="http://schemas.openxmlformats.org/officeDocument/2006/relationships/worksheet" Target="/xl/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/xl/worksheets/sheet2.xml"/><Relationship Id="rId16" Type="http://schemas.openxmlformats.org/officeDocument/2006/relationships/worksheet" Target="/xl/worksheets/sheet16.xml"/><Relationship Id="rId20" Type="http://schemas.openxmlformats.org/officeDocument/2006/relationships/worksheet" Target="/xl/worksheets/sheet20.xml"/><Relationship Id="rId1" Type="http://schemas.openxmlformats.org/officeDocument/2006/relationships/worksheet" Target="/xl/worksheets/sheet1.xml"/><Relationship Id="rId6" Type="http://schemas.openxmlformats.org/officeDocument/2006/relationships/worksheet" Target="/xl/worksheets/sheet6.xml"/><Relationship Id="rId11" Type="http://schemas.openxmlformats.org/officeDocument/2006/relationships/worksheet" Target="/xl/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/xl/worksheets/sheet5.xml"/><Relationship Id="rId15" Type="http://schemas.openxmlformats.org/officeDocument/2006/relationships/worksheet" Target="/xl/worksheets/sheet15.xml"/><Relationship Id="rId23" Type="http://schemas.openxmlformats.org/officeDocument/2006/relationships/theme" Target="theme/theme1.xml"/><Relationship Id="rId10" Type="http://schemas.openxmlformats.org/officeDocument/2006/relationships/worksheet" Target="/xl/worksheets/sheet10.xml"/><Relationship Id="rId19" Type="http://schemas.openxmlformats.org/officeDocument/2006/relationships/worksheet" Target="/xl/worksheets/sheet19.xml"/><Relationship Id="rId4" Type="http://schemas.openxmlformats.org/officeDocument/2006/relationships/worksheet" Target="/xl/worksheets/sheet4.xml"/><Relationship Id="rId9" Type="http://schemas.openxmlformats.org/officeDocument/2006/relationships/worksheet" Target="/xl/worksheets/sheet9.xml"/><Relationship Id="rId14" Type="http://schemas.openxmlformats.org/officeDocument/2006/relationships/worksheet" Target="/xl/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tabColor rgb="FF1F3864"/>
    <outlinePr summaryBelow="1" summaryRight="1"/>
    <pageSetUpPr fitToPage="0"/>
  </sheetPr>
  <dimension ref="A1:H68"/>
  <sheetViews>
    <sheetView showFormulas="0" showGridLines="1" showRowColHeaders="1" showZeros="1" rightToLeft="0" tabSelected="0" showOutlineSymbols="1" defaultGridColor="1" view="normal" topLeftCell="A1" colorId="64" zoomScale="80" zoomScaleNormal="80" zoomScalePageLayoutView="100" workbookViewId="0">
      <pane xSplit="2" ySplit="0" topLeftCell="C1" activePane="topRight" state="frozen"/>
      <selection pane="topLeft" activeCell="A1" activeCellId="0" sqref="A1"/>
      <selection pane="topRight" activeCell="B8" activeCellId="0" sqref="B8"/>
    </sheetView>
  </sheetViews>
  <sheetFormatPr baseColWidth="8" defaultColWidth="8.71484375" defaultRowHeight="15" zeroHeight="0" outlineLevelRow="0"/>
  <cols>
    <col width="44" customWidth="1" style="103" min="1" max="1"/>
    <col width="16" customWidth="1" style="103" min="2" max="2"/>
    <col width="38" customWidth="1" style="103" min="3" max="3"/>
    <col width="14" customWidth="1" style="103" min="4" max="7"/>
    <col width="18" customWidth="1" style="103" min="8" max="8"/>
  </cols>
  <sheetData>
    <row r="1" ht="19.5" customHeight="1" s="104">
      <c r="A1" s="105" t="inlineStr">
        <is>
          <t>Ascendant Legal Partners Fund I – Master Assumptions</t>
        </is>
      </c>
    </row>
    <row r="3" ht="15" customHeight="1" s="104">
      <c r="A3" s="106" t="inlineStr">
        <is>
          <t>PLATFORM ACQUISITION – INITIAL CLOSE</t>
        </is>
      </c>
      <c r="B3" s="107" t="inlineStr">
        <is>
          <t>Value</t>
        </is>
      </c>
      <c r="C3" s="107" t="inlineStr">
        <is>
          <t>Notes</t>
        </is>
      </c>
    </row>
    <row r="4" ht="15.75" customHeight="1" s="104">
      <c r="A4" s="107" t="inlineStr">
        <is>
          <t>Platform Close Date</t>
        </is>
      </c>
      <c r="B4" s="108" t="inlineStr">
        <is>
          <t>10/1/2026</t>
        </is>
      </c>
      <c r="C4" s="109" t="inlineStr">
        <is>
          <t>Oct 1 2026</t>
        </is>
      </c>
    </row>
    <row r="5" ht="15.75" customHeight="1" s="104">
      <c r="A5" s="107" t="inlineStr">
        <is>
          <t>Platform LTM Revenue ($mm)</t>
        </is>
      </c>
      <c r="B5" s="110" t="n">
        <v>70</v>
      </c>
      <c r="C5" s="109" t="inlineStr">
        <is>
          <t>At acquisition</t>
        </is>
      </c>
    </row>
    <row r="6" ht="15.75" customHeight="1" s="104">
      <c r="A6" s="107" t="inlineStr">
        <is>
          <t>Platform EBITDA Margin at Close</t>
        </is>
      </c>
      <c r="B6" s="111" t="n">
        <v>0.18</v>
      </c>
      <c r="C6" s="109" t="inlineStr">
        <is>
          <t>Driven by OpEx line items below</t>
        </is>
      </c>
    </row>
    <row r="7" ht="15.75" customHeight="1" s="104">
      <c r="A7" s="107" t="inlineStr">
        <is>
          <t>Acquisition Multiple (x EBITDA)</t>
        </is>
      </c>
      <c r="B7" s="112" t="n">
        <v>7</v>
      </c>
      <c r="C7" s="109" t="inlineStr">
        <is>
          <t>EV / EBITDA</t>
        </is>
      </c>
    </row>
    <row r="8" ht="15.75" customHeight="1" s="104">
      <c r="A8" s="107" t="inlineStr">
        <is>
          <t>Max Debt Leverage (x EBITDA)</t>
        </is>
      </c>
      <c r="B8" s="112" t="n">
        <v>3</v>
      </c>
      <c r="C8" s="109" t="inlineStr">
        <is>
          <t>Consolidated facility cap</t>
        </is>
      </c>
    </row>
    <row r="9" ht="15.75" customHeight="1" s="104">
      <c r="A9" s="107" t="inlineStr">
        <is>
          <t>Debt Interest Rate (all-in)</t>
        </is>
      </c>
      <c r="B9" s="111" t="n">
        <v>0.1</v>
      </c>
      <c r="C9" s="109" t="inlineStr">
        <is>
          <t>SOFR + spread</t>
        </is>
      </c>
    </row>
    <row r="10" ht="15.75" customHeight="1" s="104">
      <c r="A10" s="107" t="inlineStr">
        <is>
          <t>Debt Amortization (% of principal / yr)</t>
        </is>
      </c>
      <c r="B10" s="111" t="n">
        <v>0.025</v>
      </c>
      <c r="C10" s="109" t="inlineStr">
        <is>
          <t>5% annual = 0.417% monthly</t>
        </is>
      </c>
    </row>
    <row r="11" ht="15.75" customHeight="1" s="104">
      <c r="A11" s="107" t="inlineStr">
        <is>
          <t>Transaction Fee – Platform (% of TEV)</t>
        </is>
      </c>
      <c r="B11" s="111" t="n">
        <v>0.03</v>
      </c>
      <c r="C11" s="109" t="inlineStr">
        <is>
          <t>Advisory + legal</t>
        </is>
      </c>
    </row>
    <row r="12" ht="15.75" customHeight="1" s="104">
      <c r="A12" s="107" t="inlineStr">
        <is>
          <t>Opening Cash at Close ($mm)</t>
        </is>
      </c>
      <c r="B12" s="110" t="n">
        <v>5</v>
      </c>
      <c r="C12" s="109" t="inlineStr">
        <is>
          <t>Operating cushion</t>
        </is>
      </c>
    </row>
    <row r="13" ht="15.75" customHeight="1" s="104">
      <c r="A13" s="107" t="inlineStr">
        <is>
          <t>Goodwill Amort. Period (years, §197)</t>
        </is>
      </c>
      <c r="B13" s="113" t="n">
        <v>15</v>
      </c>
      <c r="C13" s="109" t="inlineStr">
        <is>
          <t>IRS §197 straight-line</t>
        </is>
      </c>
    </row>
    <row r="14" ht="15.75" customHeight="1" s="104">
      <c r="A14" s="107" t="inlineStr">
        <is>
          <t>Transaction Fee – Add-Ons (% of TEV)</t>
        </is>
      </c>
      <c r="B14" s="111" t="n">
        <v>0.03</v>
      </c>
      <c r="C14" s="109" t="inlineStr">
        <is>
          <t>Default; override per add-on col F</t>
        </is>
      </c>
    </row>
    <row r="16" ht="15" customHeight="1" s="104">
      <c r="A16" s="106" t="inlineStr">
        <is>
          <t>REVENUE GROWTH – PLATFORM (Annual rate, applied monthly)</t>
        </is>
      </c>
      <c r="B16" s="107" t="inlineStr">
        <is>
          <t>Rate</t>
        </is>
      </c>
      <c r="C16" s="107" t="inlineStr">
        <is>
          <t>Notes</t>
        </is>
      </c>
    </row>
    <row r="17" ht="15.75" customHeight="1" s="104">
      <c r="A17" s="107" t="inlineStr">
        <is>
          <t>FY1 Revenue Growth (Oct26-Sep27)</t>
        </is>
      </c>
      <c r="B17" s="111" t="n">
        <v>0.05</v>
      </c>
      <c r="C17" s="109" t="inlineStr">
        <is>
          <t>Integration year</t>
        </is>
      </c>
    </row>
    <row r="18" ht="15.75" customHeight="1" s="104">
      <c r="A18" s="107" t="inlineStr">
        <is>
          <t>FY2 Revenue Growth</t>
        </is>
      </c>
      <c r="B18" s="111" t="n">
        <v>0.07000000000000001</v>
      </c>
    </row>
    <row r="19" ht="15.75" customHeight="1" s="104">
      <c r="A19" s="107" t="inlineStr">
        <is>
          <t>FY3 Revenue Growth</t>
        </is>
      </c>
      <c r="B19" s="111" t="n">
        <v>0.08</v>
      </c>
    </row>
    <row r="20" ht="15.75" customHeight="1" s="104">
      <c r="A20" s="107" t="inlineStr">
        <is>
          <t>FY4 Revenue Growth</t>
        </is>
      </c>
      <c r="B20" s="111" t="n">
        <v>0.08</v>
      </c>
    </row>
    <row r="21" ht="15.75" customHeight="1" s="104">
      <c r="A21" s="107" t="inlineStr">
        <is>
          <t>FY5 Revenue Growth</t>
        </is>
      </c>
      <c r="B21" s="111" t="n">
        <v>0.08</v>
      </c>
    </row>
    <row r="23" ht="15" customHeight="1" s="104">
      <c r="A23" s="106" t="inlineStr">
        <is>
          <t>COST STRUCTURE (% of Revenue) — base rates sum to 82% = 18% EBITDA margin</t>
        </is>
      </c>
      <c r="B23" s="107" t="inlineStr">
        <is>
          <t>Rate/Impr.</t>
        </is>
      </c>
      <c r="C23" s="107" t="inlineStr">
        <is>
          <t>Notes</t>
        </is>
      </c>
    </row>
    <row r="24" ht="15.75" customHeight="1" s="104">
      <c r="A24" s="107" t="inlineStr">
        <is>
          <t>Attorney Compensation – Base %</t>
        </is>
      </c>
      <c r="B24" s="111" t="n">
        <v>0.58</v>
      </c>
      <c r="C24" s="109" t="inlineStr">
        <is>
          <t>Incl. partner draws; see Assumption Notes tab</t>
        </is>
      </c>
    </row>
    <row r="25" ht="15.75" customHeight="1" s="104">
      <c r="A25" s="107" t="inlineStr">
        <is>
          <t>Attorney Compensation – Annual Improvement</t>
        </is>
      </c>
      <c r="B25" s="111" t="n">
        <v>-0.005</v>
      </c>
      <c r="C25" s="109" t="inlineStr">
        <is>
          <t>Starts FY2; throughput/leverage gains</t>
        </is>
      </c>
    </row>
    <row r="26" ht="15.75" customHeight="1" s="104">
      <c r="A26" s="107" t="inlineStr">
        <is>
          <t>Staff Compensation – Base %</t>
        </is>
      </c>
      <c r="B26" s="111" t="n">
        <v>0.1</v>
      </c>
      <c r="C26" s="109" t="inlineStr">
        <is>
          <t>Non-attorney staff</t>
        </is>
      </c>
    </row>
    <row r="27" ht="15.75" customHeight="1" s="104">
      <c r="A27" s="107" t="inlineStr">
        <is>
          <t>Staff Compensation – Annual Improvement</t>
        </is>
      </c>
      <c r="B27" s="111" t="n">
        <v>-0.003</v>
      </c>
      <c r="C27" s="109" t="inlineStr">
        <is>
          <t>Admin rationalization post-rollup</t>
        </is>
      </c>
    </row>
    <row r="28" ht="15.75" customHeight="1" s="104">
      <c r="A28" s="107" t="inlineStr">
        <is>
          <t>Occupancy &amp; Facilities – Base %</t>
        </is>
      </c>
      <c r="B28" s="111" t="n">
        <v>0.06</v>
      </c>
      <c r="C28" s="109" t="inlineStr">
        <is>
          <t>Rent + facilities</t>
        </is>
      </c>
    </row>
    <row r="29" ht="15.75" customHeight="1" s="104">
      <c r="A29" s="107" t="inlineStr">
        <is>
          <t>Occupancy – Annual Improvement</t>
        </is>
      </c>
      <c r="B29" s="111" t="n">
        <v>0</v>
      </c>
      <c r="C29" s="109" t="inlineStr">
        <is>
          <t>Lease consolidation savings</t>
        </is>
      </c>
    </row>
    <row r="30" ht="15.75" customHeight="1" s="104">
      <c r="A30" s="107" t="inlineStr">
        <is>
          <t>Technology &amp; Software – Base %</t>
        </is>
      </c>
      <c r="B30" s="111" t="n">
        <v>0.03</v>
      </c>
      <c r="C30" s="109" t="inlineStr">
        <is>
          <t>Practice mgmt, billing systems</t>
        </is>
      </c>
    </row>
    <row r="31" ht="15.75" customHeight="1" s="104">
      <c r="A31" s="107" t="inlineStr">
        <is>
          <t>Technology – Annual Improvement</t>
        </is>
      </c>
      <c r="B31" s="111" t="n">
        <v>0</v>
      </c>
      <c r="C31" s="109" t="inlineStr">
        <is>
          <t>Shared platform leverage</t>
        </is>
      </c>
    </row>
    <row r="32" ht="15.75" customHeight="1" s="104">
      <c r="A32" s="107" t="inlineStr">
        <is>
          <t>Insurance – Base %</t>
        </is>
      </c>
      <c r="B32" s="111" t="n">
        <v>0.025</v>
      </c>
      <c r="C32" s="109" t="inlineStr">
        <is>
          <t>Malpractice + general liability</t>
        </is>
      </c>
    </row>
    <row r="33" ht="15.75" customHeight="1" s="104">
      <c r="A33" s="107" t="inlineStr">
        <is>
          <t>Insurance – Annual Improvement</t>
        </is>
      </c>
      <c r="B33" s="111" t="n">
        <v>0</v>
      </c>
      <c r="C33" s="109" t="inlineStr">
        <is>
          <t>Group purchasing power</t>
        </is>
      </c>
    </row>
    <row r="34" ht="15.75" customHeight="1" s="104">
      <c r="A34" s="107" t="inlineStr">
        <is>
          <t>Other OpEx – Base %</t>
        </is>
      </c>
      <c r="B34" s="111" t="n">
        <v>0.025</v>
      </c>
      <c r="C34" s="109" t="inlineStr">
        <is>
          <t>BD, CLE, recruiting, misc</t>
        </is>
      </c>
    </row>
    <row r="35" ht="15.75" customHeight="1" s="104">
      <c r="A35" s="107" t="inlineStr">
        <is>
          <t>Other OpEx – Annual Improvement</t>
        </is>
      </c>
      <c r="B35" s="111" t="n">
        <v>-0.001</v>
      </c>
      <c r="C35" s="109" t="n"/>
    </row>
    <row r="37" ht="15" customHeight="1" s="104">
      <c r="A37" s="106" t="inlineStr">
        <is>
          <t>DEPRECIATION &amp; AMORTIZATION</t>
        </is>
      </c>
      <c r="B37" s="107" t="inlineStr">
        <is>
          <t>Rate</t>
        </is>
      </c>
      <c r="C37" s="107" t="inlineStr">
        <is>
          <t>Notes</t>
        </is>
      </c>
    </row>
    <row r="38" ht="15.75" customHeight="1" s="104">
      <c r="A38" s="107" t="inlineStr">
        <is>
          <t>PP&amp;E D&amp;A (% of Revenue, monthly)</t>
        </is>
      </c>
      <c r="B38" s="111" t="n">
        <v>0.015</v>
      </c>
      <c r="C38" s="109" t="inlineStr">
        <is>
          <t>Furniture, tech, leasehold improvements</t>
        </is>
      </c>
    </row>
    <row r="39" ht="15.75" customHeight="1" s="104">
      <c r="A39" s="107" t="inlineStr">
        <is>
          <t>Goodwill Amort = TEV / (B13 x 12)</t>
        </is>
      </c>
      <c r="B39" s="109" t="inlineStr">
        <is>
          <t>See Amortization Table</t>
        </is>
      </c>
      <c r="C39" s="109" t="inlineStr">
        <is>
          <t>Auto-calc in Amortization Table tab</t>
        </is>
      </c>
    </row>
    <row r="41" ht="15" customHeight="1" s="104">
      <c r="A41" s="106" t="inlineStr">
        <is>
          <t>TAX, WORKING CAPITAL &amp; CAPEX</t>
        </is>
      </c>
      <c r="B41" s="107" t="inlineStr">
        <is>
          <t>Value</t>
        </is>
      </c>
      <c r="C41" s="107" t="inlineStr">
        <is>
          <t>Notes</t>
        </is>
      </c>
    </row>
    <row r="42" ht="15.75" customHeight="1" s="104">
      <c r="A42" s="107" t="inlineStr">
        <is>
          <t>Effective Tax Rate</t>
        </is>
      </c>
      <c r="B42" s="111" t="n">
        <v>0.27</v>
      </c>
      <c r="C42" s="109" t="inlineStr">
        <is>
          <t>Blended federal + state</t>
        </is>
      </c>
    </row>
    <row r="43" ht="15.75" customHeight="1" s="104">
      <c r="A43" s="107" t="inlineStr">
        <is>
          <t>Days Sales Outstanding (AR)</t>
        </is>
      </c>
      <c r="B43" s="114" t="n">
        <v>90</v>
      </c>
      <c r="C43" s="109" t="inlineStr">
        <is>
          <t>Billing-to-collection</t>
        </is>
      </c>
    </row>
    <row r="44" ht="15.75" customHeight="1" s="104">
      <c r="A44" s="107" t="inlineStr">
        <is>
          <t>Prepaid Assets (% of Ann. Revenue)</t>
        </is>
      </c>
      <c r="B44" s="111" t="n">
        <v>0.015</v>
      </c>
      <c r="C44" s="109" t="inlineStr">
        <is>
          <t>Insurance, software prepaid</t>
        </is>
      </c>
    </row>
    <row r="45" ht="15.75" customHeight="1" s="104">
      <c r="A45" s="107" t="inlineStr">
        <is>
          <t>Days Payable Outstanding (AP)</t>
        </is>
      </c>
      <c r="B45" s="114" t="n">
        <v>30</v>
      </c>
      <c r="C45" s="109" t="inlineStr">
        <is>
          <t>Vendor payment terms</t>
        </is>
      </c>
    </row>
    <row r="46" ht="15.75" customHeight="1" s="104">
      <c r="A46" s="107" t="inlineStr">
        <is>
          <t>Accrued Liabilities (% of Rev)</t>
        </is>
      </c>
      <c r="B46" s="111" t="n">
        <v>0.04</v>
      </c>
      <c r="C46" s="109" t="inlineStr">
        <is>
          <t>Payroll accruals</t>
        </is>
      </c>
    </row>
    <row r="47" ht="15.75" customHeight="1" s="104">
      <c r="A47" s="107" t="inlineStr">
        <is>
          <t>CapEx (% of Revenue, monthly)</t>
        </is>
      </c>
      <c r="B47" s="111" t="n">
        <v>0.015</v>
      </c>
      <c r="C47" s="109" t="inlineStr">
        <is>
          <t>Maintenance + growth</t>
        </is>
      </c>
    </row>
    <row r="49" ht="15" customHeight="1" s="104">
      <c r="A49" s="106" t="inlineStr">
        <is>
          <t>ADD-ON ACQUISITIONS (10 slots)</t>
        </is>
      </c>
    </row>
    <row r="50" ht="18" customHeight="1" s="104">
      <c r="A50" s="115" t="inlineStr">
        <is>
          <t>Add-On Name</t>
        </is>
      </c>
      <c r="B50" s="115" t="inlineStr">
        <is>
          <t>Close Date</t>
        </is>
      </c>
      <c r="C50" s="115" t="inlineStr">
        <is>
          <t>LTM Rev ($mm)</t>
        </is>
      </c>
      <c r="D50" s="115" t="inlineStr">
        <is>
          <t>EBITDA Margin</t>
        </is>
      </c>
      <c r="E50" s="115" t="inlineStr">
        <is>
          <t>Acq Multiple</t>
        </is>
      </c>
      <c r="F50" s="115" t="inlineStr">
        <is>
          <t>Trans Fee % TEV</t>
        </is>
      </c>
      <c r="G50" s="115" t="inlineStr">
        <is>
          <t>TEV ($mm)</t>
        </is>
      </c>
      <c r="H50" s="115" t="inlineStr">
        <is>
          <t>Acq EBITDA ($mm)</t>
        </is>
      </c>
    </row>
    <row r="51" ht="15.75" customHeight="1" s="104">
      <c r="A51" s="116" t="inlineStr">
        <is>
          <t>Add-On 1</t>
        </is>
      </c>
      <c r="B51" s="117" t="inlineStr">
        <is>
          <t>1/15/2027</t>
        </is>
      </c>
      <c r="C51" s="110" t="n">
        <v>15</v>
      </c>
      <c r="D51" s="111" t="n">
        <v>0.2</v>
      </c>
      <c r="E51" s="112" t="n">
        <v>5</v>
      </c>
      <c r="F51" s="111" t="n">
        <v>0.02</v>
      </c>
      <c r="G51" s="118">
        <f>IF(C51=0,0,C51*D51*E51)</f>
        <v/>
      </c>
      <c r="H51" s="118">
        <f>IF(C51=0,0,C51*D51)</f>
        <v/>
      </c>
    </row>
    <row r="52" ht="15.75" customHeight="1" s="104">
      <c r="A52" s="116" t="inlineStr">
        <is>
          <t>Add-On 2</t>
        </is>
      </c>
      <c r="B52" s="117" t="inlineStr">
        <is>
          <t>4/1/2027</t>
        </is>
      </c>
      <c r="C52" s="110" t="n">
        <v>20</v>
      </c>
      <c r="D52" s="111" t="n">
        <v>0.19</v>
      </c>
      <c r="E52" s="112" t="n">
        <v>4.5</v>
      </c>
      <c r="F52" s="111" t="n">
        <v>0.02</v>
      </c>
      <c r="G52" s="118">
        <f>IF(C52=0,0,C52*D52*E52)</f>
        <v/>
      </c>
      <c r="H52" s="118">
        <f>IF(C52=0,0,C52*D52)</f>
        <v/>
      </c>
    </row>
    <row r="53" ht="15.75" customHeight="1" s="104">
      <c r="A53" s="116" t="inlineStr">
        <is>
          <t>Add-On 3</t>
        </is>
      </c>
      <c r="B53" s="117" t="inlineStr">
        <is>
          <t>7/1/2027</t>
        </is>
      </c>
      <c r="C53" s="110" t="n">
        <v>12</v>
      </c>
      <c r="D53" s="111" t="n">
        <v>0.21</v>
      </c>
      <c r="E53" s="112" t="n">
        <v>6</v>
      </c>
      <c r="F53" s="111" t="n">
        <v>0.02</v>
      </c>
      <c r="G53" s="118">
        <f>IF(C53=0,0,C53*D53*E53)</f>
        <v/>
      </c>
      <c r="H53" s="118">
        <f>IF(C53=0,0,C53*D53)</f>
        <v/>
      </c>
    </row>
    <row r="54" ht="15.75" customHeight="1" s="104">
      <c r="A54" s="116" t="inlineStr">
        <is>
          <t>Add-On 4</t>
        </is>
      </c>
      <c r="B54" s="117" t="inlineStr">
        <is>
          <t>1/1/2028</t>
        </is>
      </c>
      <c r="C54" s="110" t="n">
        <v>25</v>
      </c>
      <c r="D54" s="111" t="n">
        <v>0.22</v>
      </c>
      <c r="E54" s="112" t="n">
        <v>7</v>
      </c>
      <c r="F54" s="111" t="n">
        <v>0.02</v>
      </c>
      <c r="G54" s="118">
        <f>IF(C54=0,0,C54*D54*E54)</f>
        <v/>
      </c>
      <c r="H54" s="118">
        <f>IF(C54=0,0,C54*D54)</f>
        <v/>
      </c>
    </row>
    <row r="55" ht="15.75" customHeight="1" s="104">
      <c r="A55" s="116" t="inlineStr">
        <is>
          <t>Add-On 5</t>
        </is>
      </c>
      <c r="B55" s="117" t="inlineStr">
        <is>
          <t>4/1/2028</t>
        </is>
      </c>
      <c r="C55" s="110" t="n">
        <v>18</v>
      </c>
      <c r="D55" s="111" t="n">
        <v>0.2</v>
      </c>
      <c r="E55" s="112" t="n">
        <v>3.5</v>
      </c>
      <c r="F55" s="111" t="n">
        <v>0.02</v>
      </c>
      <c r="G55" s="118">
        <f>IF(C55=0,0,C55*D55*E55)</f>
        <v/>
      </c>
      <c r="H55" s="118">
        <f>IF(C55=0,0,C55*D55)</f>
        <v/>
      </c>
    </row>
    <row r="56" ht="15.75" customHeight="1" s="104">
      <c r="A56" s="116" t="inlineStr">
        <is>
          <t>Add-On 6</t>
        </is>
      </c>
      <c r="B56" s="117" t="inlineStr">
        <is>
          <t>10/1/2028</t>
        </is>
      </c>
      <c r="C56" s="110" t="n">
        <v>22</v>
      </c>
      <c r="D56" s="111" t="n">
        <v>0.21</v>
      </c>
      <c r="E56" s="112" t="n">
        <v>4.5</v>
      </c>
      <c r="F56" s="111" t="n">
        <v>0.02</v>
      </c>
      <c r="G56" s="118">
        <f>IF(C56=0,0,C56*D56*E56)</f>
        <v/>
      </c>
      <c r="H56" s="118">
        <f>IF(C56=0,0,C56*D56)</f>
        <v/>
      </c>
    </row>
    <row r="57" ht="15.75" customHeight="1" s="104">
      <c r="A57" s="119" t="inlineStr">
        <is>
          <t>Add-On 7 (OFF - equity cap)</t>
        </is>
      </c>
      <c r="B57" s="117" t="inlineStr"/>
      <c r="C57" s="110" t="n"/>
      <c r="D57" s="111" t="n"/>
      <c r="E57" s="112" t="n"/>
      <c r="F57" s="111" t="n"/>
      <c r="G57" s="118" t="n"/>
      <c r="H57" s="118" t="n"/>
    </row>
    <row r="58" ht="15.75" customHeight="1" s="104">
      <c r="A58" s="116" t="inlineStr">
        <is>
          <t>Add-On 8</t>
        </is>
      </c>
      <c r="B58" s="117" t="inlineStr">
        <is>
          <t>4/1/2029</t>
        </is>
      </c>
      <c r="C58" s="110" t="n">
        <v>14</v>
      </c>
      <c r="D58" s="111" t="n">
        <v>0.19</v>
      </c>
      <c r="E58" s="112" t="n">
        <v>6</v>
      </c>
      <c r="F58" s="111" t="n">
        <v>0.02</v>
      </c>
      <c r="G58" s="118">
        <f>IF(C58=0,0,C58*D58*E58)</f>
        <v/>
      </c>
      <c r="H58" s="118">
        <f>IF(C58=0,0,C58*D58)</f>
        <v/>
      </c>
    </row>
    <row r="59" ht="15.75" customHeight="1" s="104">
      <c r="A59" s="116" t="inlineStr">
        <is>
          <t>Add-On 9</t>
        </is>
      </c>
      <c r="B59" s="117" t="inlineStr">
        <is>
          <t>10/1/2029</t>
        </is>
      </c>
      <c r="C59" s="110" t="n">
        <v>17</v>
      </c>
      <c r="D59" s="111" t="n">
        <v>0.21</v>
      </c>
      <c r="E59" s="112" t="n">
        <v>5</v>
      </c>
      <c r="F59" s="111" t="n">
        <v>0.02</v>
      </c>
      <c r="G59" s="118">
        <f>IF(C59=0,0,C59*D59*E59)</f>
        <v/>
      </c>
      <c r="H59" s="118">
        <f>IF(C59=0,0,C59*D59)</f>
        <v/>
      </c>
    </row>
    <row r="60" ht="15.75" customHeight="1" s="104">
      <c r="A60" s="116" t="inlineStr">
        <is>
          <t>Add-On 10</t>
        </is>
      </c>
      <c r="B60" s="117" t="inlineStr">
        <is>
          <t>1/1/2030</t>
        </is>
      </c>
      <c r="C60" s="110" t="n">
        <v>20</v>
      </c>
      <c r="D60" s="111" t="n">
        <v>0.2</v>
      </c>
      <c r="E60" s="112" t="n">
        <v>6</v>
      </c>
      <c r="F60" s="111" t="n">
        <v>0.02</v>
      </c>
      <c r="G60" s="118">
        <f>IF(C60=0,0,C60*D60*E60)</f>
        <v/>
      </c>
      <c r="H60" s="118">
        <f>IF(C60=0,0,C60*D60)</f>
        <v/>
      </c>
    </row>
    <row r="61" ht="15.75" customHeight="1" s="104">
      <c r="A61" s="116" t="n"/>
      <c r="B61" s="117" t="n"/>
      <c r="C61" s="120" t="n"/>
      <c r="D61" s="121" t="n"/>
      <c r="E61" s="122" t="n"/>
      <c r="F61" s="121" t="n"/>
      <c r="G61" s="118" t="n"/>
      <c r="H61" s="118" t="n"/>
    </row>
    <row r="62" ht="15" customHeight="1" s="104">
      <c r="A62" s="123" t="inlineStr">
        <is>
          <t>Total</t>
        </is>
      </c>
      <c r="B62" s="124" t="n"/>
      <c r="C62" s="125">
        <f>SUM(C51:C61)</f>
        <v/>
      </c>
      <c r="D62" s="126">
        <f>H62/C62</f>
        <v/>
      </c>
      <c r="E62" s="127">
        <f>G62/H62</f>
        <v/>
      </c>
      <c r="F62" s="126">
        <f>AVERAGE(F51:F60)</f>
        <v/>
      </c>
      <c r="G62" s="125">
        <f>SUM(G51:G61)</f>
        <v/>
      </c>
      <c r="H62" s="125">
        <f>SUM(H51:H61)</f>
        <v/>
      </c>
    </row>
    <row r="63" ht="15" customHeight="1" s="104">
      <c r="A63" s="109" t="inlineStr">
        <is>
          <t>Debt draw per add-on = MAX(0, (LTM Consol EBITDA + Acquired EBITDA) x Max Lev - Prior Debt Balance). Shortfall vs TEV funded by equity. See Debt Schedule tab.</t>
        </is>
      </c>
    </row>
    <row r="65">
      <c r="A65" s="128" t="inlineStr">
        <is>
          <t>EQUITY CONSTRAINTS</t>
        </is>
      </c>
    </row>
    <row r="66">
      <c r="A66" t="inlineStr">
        <is>
          <t>Maximum Fund Equity ($mm)</t>
        </is>
      </c>
      <c r="B66" s="129" t="n">
        <v>100</v>
      </c>
      <c r="C66" s="130" t="inlineStr">
        <is>
          <t>Total equity the fund can deploy (incl. platform + fees)</t>
        </is>
      </c>
    </row>
    <row r="67">
      <c r="A67" t="inlineStr">
        <is>
          <t>Minimum Cash Reserve (% of Consol. EBITDA)</t>
        </is>
      </c>
      <c r="B67" s="131" t="n">
        <v>0.25</v>
      </c>
      <c r="C67" s="130" t="inlineStr">
        <is>
          <t>Cannot draw BS cash below this threshold</t>
        </is>
      </c>
    </row>
    <row r="68">
      <c r="A68" s="130" t="inlineStr">
        <is>
          <t>Convention: Sponsor equity covers TEV + transaction fees - debt (fees NOT paid from company cash)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10.xml><?xml version="1.0" encoding="utf-8"?>
<worksheet xmlns="http://schemas.openxmlformats.org/spreadsheetml/2006/main">
  <sheetPr filterMode="0">
    <tabColor rgb="FF5B9BD5"/>
    <outlinePr summaryBelow="1" summaryRight="1"/>
    <pageSetUpPr fitToPage="0"/>
  </sheetPr>
  <dimension ref="A1:BP2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baseColWidth="8" defaultColWidth="8.71484375" defaultRowHeight="15" zeroHeight="0" outlineLevelRow="0"/>
  <cols>
    <col width="38" customWidth="1" style="103" min="1" max="1"/>
    <col width="9" customWidth="1" style="103" min="3" max="62"/>
    <col width="11" customWidth="1" style="103" min="64" max="68"/>
  </cols>
  <sheetData>
    <row r="1" ht="19.5" customHeight="1" s="104">
      <c r="A1" s="105" t="inlineStr">
        <is>
          <t>Add-On 2 – Monthly P&amp;L ($mm)</t>
        </is>
      </c>
    </row>
    <row r="3" ht="15" customHeight="1" s="104">
      <c r="A3" s="116" t="inlineStr">
        <is>
          <t>($mm)</t>
        </is>
      </c>
      <c r="C3" s="149" t="inlineStr">
        <is>
          <t>Oct-26</t>
        </is>
      </c>
      <c r="D3" s="149" t="inlineStr">
        <is>
          <t>Nov-26</t>
        </is>
      </c>
      <c r="E3" s="149" t="inlineStr">
        <is>
          <t>Dec-26</t>
        </is>
      </c>
      <c r="F3" s="149" t="inlineStr">
        <is>
          <t>Jan-27</t>
        </is>
      </c>
      <c r="G3" s="149" t="inlineStr">
        <is>
          <t>Feb-27</t>
        </is>
      </c>
      <c r="H3" s="149" t="inlineStr">
        <is>
          <t>Mar-27</t>
        </is>
      </c>
      <c r="I3" s="149" t="inlineStr">
        <is>
          <t>Apr-27</t>
        </is>
      </c>
      <c r="J3" s="149" t="inlineStr">
        <is>
          <t>May-27</t>
        </is>
      </c>
      <c r="K3" s="149" t="inlineStr">
        <is>
          <t>Jun-27</t>
        </is>
      </c>
      <c r="L3" s="149" t="inlineStr">
        <is>
          <t>Jul-27</t>
        </is>
      </c>
      <c r="M3" s="149" t="inlineStr">
        <is>
          <t>Aug-27</t>
        </is>
      </c>
      <c r="N3" s="149" t="inlineStr">
        <is>
          <t>Sep-27</t>
        </is>
      </c>
      <c r="O3" s="149" t="inlineStr">
        <is>
          <t>Oct-27</t>
        </is>
      </c>
      <c r="P3" s="149" t="inlineStr">
        <is>
          <t>Nov-27</t>
        </is>
      </c>
      <c r="Q3" s="149" t="inlineStr">
        <is>
          <t>Dec-27</t>
        </is>
      </c>
      <c r="R3" s="149" t="inlineStr">
        <is>
          <t>Jan-28</t>
        </is>
      </c>
      <c r="S3" s="149" t="inlineStr">
        <is>
          <t>Feb-28</t>
        </is>
      </c>
      <c r="T3" s="149" t="inlineStr">
        <is>
          <t>Mar-28</t>
        </is>
      </c>
      <c r="U3" s="149" t="inlineStr">
        <is>
          <t>Apr-28</t>
        </is>
      </c>
      <c r="V3" s="149" t="inlineStr">
        <is>
          <t>May-28</t>
        </is>
      </c>
      <c r="W3" s="149" t="inlineStr">
        <is>
          <t>Jun-28</t>
        </is>
      </c>
      <c r="X3" s="149" t="inlineStr">
        <is>
          <t>Jul-28</t>
        </is>
      </c>
      <c r="Y3" s="149" t="inlineStr">
        <is>
          <t>Aug-28</t>
        </is>
      </c>
      <c r="Z3" s="149" t="inlineStr">
        <is>
          <t>Sep-28</t>
        </is>
      </c>
      <c r="AA3" s="149" t="inlineStr">
        <is>
          <t>Oct-28</t>
        </is>
      </c>
      <c r="AB3" s="149" t="inlineStr">
        <is>
          <t>Nov-28</t>
        </is>
      </c>
      <c r="AC3" s="149" t="inlineStr">
        <is>
          <t>Dec-28</t>
        </is>
      </c>
      <c r="AD3" s="149" t="inlineStr">
        <is>
          <t>Jan-29</t>
        </is>
      </c>
      <c r="AE3" s="149" t="inlineStr">
        <is>
          <t>Feb-29</t>
        </is>
      </c>
      <c r="AF3" s="149" t="inlineStr">
        <is>
          <t>Mar-29</t>
        </is>
      </c>
      <c r="AG3" s="149" t="inlineStr">
        <is>
          <t>Apr-29</t>
        </is>
      </c>
      <c r="AH3" s="149" t="inlineStr">
        <is>
          <t>May-29</t>
        </is>
      </c>
      <c r="AI3" s="149" t="inlineStr">
        <is>
          <t>Jun-29</t>
        </is>
      </c>
      <c r="AJ3" s="149" t="inlineStr">
        <is>
          <t>Jul-29</t>
        </is>
      </c>
      <c r="AK3" s="149" t="inlineStr">
        <is>
          <t>Aug-29</t>
        </is>
      </c>
      <c r="AL3" s="149" t="inlineStr">
        <is>
          <t>Sep-29</t>
        </is>
      </c>
      <c r="AM3" s="149" t="inlineStr">
        <is>
          <t>Oct-29</t>
        </is>
      </c>
      <c r="AN3" s="149" t="inlineStr">
        <is>
          <t>Nov-29</t>
        </is>
      </c>
      <c r="AO3" s="149" t="inlineStr">
        <is>
          <t>Dec-29</t>
        </is>
      </c>
      <c r="AP3" s="149" t="inlineStr">
        <is>
          <t>Jan-30</t>
        </is>
      </c>
      <c r="AQ3" s="149" t="inlineStr">
        <is>
          <t>Feb-30</t>
        </is>
      </c>
      <c r="AR3" s="149" t="inlineStr">
        <is>
          <t>Mar-30</t>
        </is>
      </c>
      <c r="AS3" s="149" t="inlineStr">
        <is>
          <t>Apr-30</t>
        </is>
      </c>
      <c r="AT3" s="149" t="inlineStr">
        <is>
          <t>May-30</t>
        </is>
      </c>
      <c r="AU3" s="149" t="inlineStr">
        <is>
          <t>Jun-30</t>
        </is>
      </c>
      <c r="AV3" s="149" t="inlineStr">
        <is>
          <t>Jul-30</t>
        </is>
      </c>
      <c r="AW3" s="149" t="inlineStr">
        <is>
          <t>Aug-30</t>
        </is>
      </c>
      <c r="AX3" s="149" t="inlineStr">
        <is>
          <t>Sep-30</t>
        </is>
      </c>
      <c r="AY3" s="149" t="inlineStr">
        <is>
          <t>Oct-30</t>
        </is>
      </c>
      <c r="AZ3" s="149" t="inlineStr">
        <is>
          <t>Nov-30</t>
        </is>
      </c>
      <c r="BA3" s="149" t="inlineStr">
        <is>
          <t>Dec-30</t>
        </is>
      </c>
      <c r="BB3" s="149" t="inlineStr">
        <is>
          <t>Jan-31</t>
        </is>
      </c>
      <c r="BC3" s="149" t="inlineStr">
        <is>
          <t>Feb-31</t>
        </is>
      </c>
      <c r="BD3" s="149" t="inlineStr">
        <is>
          <t>Mar-31</t>
        </is>
      </c>
      <c r="BE3" s="149" t="inlineStr">
        <is>
          <t>Apr-31</t>
        </is>
      </c>
      <c r="BF3" s="149" t="inlineStr">
        <is>
          <t>May-31</t>
        </is>
      </c>
      <c r="BG3" s="149" t="inlineStr">
        <is>
          <t>Jun-31</t>
        </is>
      </c>
      <c r="BH3" s="149" t="inlineStr">
        <is>
          <t>Jul-31</t>
        </is>
      </c>
      <c r="BI3" s="149" t="inlineStr">
        <is>
          <t>Aug-31</t>
        </is>
      </c>
      <c r="BJ3" s="149" t="inlineStr">
        <is>
          <t>Sep-31</t>
        </is>
      </c>
      <c r="BL3" s="150" t="inlineStr">
        <is>
          <t>FY1</t>
        </is>
      </c>
      <c r="BM3" s="150" t="inlineStr">
        <is>
          <t>FY2</t>
        </is>
      </c>
      <c r="BN3" s="150" t="inlineStr">
        <is>
          <t>FY3</t>
        </is>
      </c>
      <c r="BO3" s="150" t="inlineStr">
        <is>
          <t>FY4</t>
        </is>
      </c>
      <c r="BP3" s="150" t="inlineStr">
        <is>
          <t>FY5</t>
        </is>
      </c>
    </row>
    <row r="4" ht="15" customHeight="1" s="104">
      <c r="A4" s="213" t="inlineStr">
        <is>
          <t>Active (1=Yes)</t>
        </is>
      </c>
      <c r="C4" s="220">
        <f>IF(Assumptions!B52="",0,IF(IFERROR(DATEVALUE(TEXT(Assumptions!B52,"MM/DD/YYYY")),0)&lt;=DATE(2026,10,31),1,0))</f>
        <v/>
      </c>
      <c r="D4" s="220">
        <f>IF(Assumptions!B52="",0,IF(IFERROR(DATEVALUE(TEXT(Assumptions!B52,"MM/DD/YYYY")),0)&lt;=DATE(2026,11,30),1,0))</f>
        <v/>
      </c>
      <c r="E4" s="220">
        <f>IF(Assumptions!B52="",0,IF(IFERROR(DATEVALUE(TEXT(Assumptions!B52,"MM/DD/YYYY")),0)&lt;=DATE(2026,12,31),1,0))</f>
        <v/>
      </c>
      <c r="F4" s="220">
        <f>IF(Assumptions!B52="",0,IF(IFERROR(DATEVALUE(TEXT(Assumptions!B52,"MM/DD/YYYY")),0)&lt;=DATE(2027,1,31),1,0))</f>
        <v/>
      </c>
      <c r="G4" s="220">
        <f>IF(Assumptions!B52="",0,IF(IFERROR(DATEVALUE(TEXT(Assumptions!B52,"MM/DD/YYYY")),0)&lt;=DATE(2027,2,28),1,0))</f>
        <v/>
      </c>
      <c r="H4" s="220">
        <f>IF(Assumptions!B52="",0,IF(IFERROR(DATEVALUE(TEXT(Assumptions!B52,"MM/DD/YYYY")),0)&lt;=DATE(2027,3,31),1,0))</f>
        <v/>
      </c>
      <c r="I4" s="220">
        <f>IF(Assumptions!B52="",0,IF(IFERROR(DATEVALUE(TEXT(Assumptions!B52,"MM/DD/YYYY")),0)&lt;=DATE(2027,4,30),1,0))</f>
        <v/>
      </c>
      <c r="J4" s="220">
        <f>IF(Assumptions!B52="",0,IF(IFERROR(DATEVALUE(TEXT(Assumptions!B52,"MM/DD/YYYY")),0)&lt;=DATE(2027,5,31),1,0))</f>
        <v/>
      </c>
      <c r="K4" s="220">
        <f>IF(Assumptions!B52="",0,IF(IFERROR(DATEVALUE(TEXT(Assumptions!B52,"MM/DD/YYYY")),0)&lt;=DATE(2027,6,30),1,0))</f>
        <v/>
      </c>
      <c r="L4" s="220">
        <f>IF(Assumptions!B52="",0,IF(IFERROR(DATEVALUE(TEXT(Assumptions!B52,"MM/DD/YYYY")),0)&lt;=DATE(2027,7,31),1,0))</f>
        <v/>
      </c>
      <c r="M4" s="220">
        <f>IF(Assumptions!B52="",0,IF(IFERROR(DATEVALUE(TEXT(Assumptions!B52,"MM/DD/YYYY")),0)&lt;=DATE(2027,8,31),1,0))</f>
        <v/>
      </c>
      <c r="N4" s="220">
        <f>IF(Assumptions!B52="",0,IF(IFERROR(DATEVALUE(TEXT(Assumptions!B52,"MM/DD/YYYY")),0)&lt;=DATE(2027,9,30),1,0))</f>
        <v/>
      </c>
      <c r="O4" s="220">
        <f>IF(Assumptions!B52="",0,IF(IFERROR(DATEVALUE(TEXT(Assumptions!B52,"MM/DD/YYYY")),0)&lt;=DATE(2027,10,31),1,0))</f>
        <v/>
      </c>
      <c r="P4" s="220">
        <f>IF(Assumptions!B52="",0,IF(IFERROR(DATEVALUE(TEXT(Assumptions!B52,"MM/DD/YYYY")),0)&lt;=DATE(2027,11,30),1,0))</f>
        <v/>
      </c>
      <c r="Q4" s="220">
        <f>IF(Assumptions!B52="",0,IF(IFERROR(DATEVALUE(TEXT(Assumptions!B52,"MM/DD/YYYY")),0)&lt;=DATE(2027,12,31),1,0))</f>
        <v/>
      </c>
      <c r="R4" s="220">
        <f>IF(Assumptions!B52="",0,IF(IFERROR(DATEVALUE(TEXT(Assumptions!B52,"MM/DD/YYYY")),0)&lt;=DATE(2028,1,31),1,0))</f>
        <v/>
      </c>
      <c r="S4" s="220">
        <f>IF(Assumptions!B52="",0,IF(IFERROR(DATEVALUE(TEXT(Assumptions!B52,"MM/DD/YYYY")),0)&lt;=DATE(2028,2,29),1,0))</f>
        <v/>
      </c>
      <c r="T4" s="220">
        <f>IF(Assumptions!B52="",0,IF(IFERROR(DATEVALUE(TEXT(Assumptions!B52,"MM/DD/YYYY")),0)&lt;=DATE(2028,3,31),1,0))</f>
        <v/>
      </c>
      <c r="U4" s="220">
        <f>IF(Assumptions!B52="",0,IF(IFERROR(DATEVALUE(TEXT(Assumptions!B52,"MM/DD/YYYY")),0)&lt;=DATE(2028,4,30),1,0))</f>
        <v/>
      </c>
      <c r="V4" s="220">
        <f>IF(Assumptions!B52="",0,IF(IFERROR(DATEVALUE(TEXT(Assumptions!B52,"MM/DD/YYYY")),0)&lt;=DATE(2028,5,31),1,0))</f>
        <v/>
      </c>
      <c r="W4" s="220">
        <f>IF(Assumptions!B52="",0,IF(IFERROR(DATEVALUE(TEXT(Assumptions!B52,"MM/DD/YYYY")),0)&lt;=DATE(2028,6,30),1,0))</f>
        <v/>
      </c>
      <c r="X4" s="220">
        <f>IF(Assumptions!B52="",0,IF(IFERROR(DATEVALUE(TEXT(Assumptions!B52,"MM/DD/YYYY")),0)&lt;=DATE(2028,7,31),1,0))</f>
        <v/>
      </c>
      <c r="Y4" s="220">
        <f>IF(Assumptions!B52="",0,IF(IFERROR(DATEVALUE(TEXT(Assumptions!B52,"MM/DD/YYYY")),0)&lt;=DATE(2028,8,31),1,0))</f>
        <v/>
      </c>
      <c r="Z4" s="220">
        <f>IF(Assumptions!B52="",0,IF(IFERROR(DATEVALUE(TEXT(Assumptions!B52,"MM/DD/YYYY")),0)&lt;=DATE(2028,9,30),1,0))</f>
        <v/>
      </c>
      <c r="AA4" s="220">
        <f>IF(Assumptions!B52="",0,IF(IFERROR(DATEVALUE(TEXT(Assumptions!B52,"MM/DD/YYYY")),0)&lt;=DATE(2028,10,31),1,0))</f>
        <v/>
      </c>
      <c r="AB4" s="220">
        <f>IF(Assumptions!B52="",0,IF(IFERROR(DATEVALUE(TEXT(Assumptions!B52,"MM/DD/YYYY")),0)&lt;=DATE(2028,11,30),1,0))</f>
        <v/>
      </c>
      <c r="AC4" s="220">
        <f>IF(Assumptions!B52="",0,IF(IFERROR(DATEVALUE(TEXT(Assumptions!B52,"MM/DD/YYYY")),0)&lt;=DATE(2028,12,31),1,0))</f>
        <v/>
      </c>
      <c r="AD4" s="220">
        <f>IF(Assumptions!B52="",0,IF(IFERROR(DATEVALUE(TEXT(Assumptions!B52,"MM/DD/YYYY")),0)&lt;=DATE(2029,1,31),1,0))</f>
        <v/>
      </c>
      <c r="AE4" s="220">
        <f>IF(Assumptions!B52="",0,IF(IFERROR(DATEVALUE(TEXT(Assumptions!B52,"MM/DD/YYYY")),0)&lt;=DATE(2029,2,28),1,0))</f>
        <v/>
      </c>
      <c r="AF4" s="220">
        <f>IF(Assumptions!B52="",0,IF(IFERROR(DATEVALUE(TEXT(Assumptions!B52,"MM/DD/YYYY")),0)&lt;=DATE(2029,3,31),1,0))</f>
        <v/>
      </c>
      <c r="AG4" s="220">
        <f>IF(Assumptions!B52="",0,IF(IFERROR(DATEVALUE(TEXT(Assumptions!B52,"MM/DD/YYYY")),0)&lt;=DATE(2029,4,30),1,0))</f>
        <v/>
      </c>
      <c r="AH4" s="220">
        <f>IF(Assumptions!B52="",0,IF(IFERROR(DATEVALUE(TEXT(Assumptions!B52,"MM/DD/YYYY")),0)&lt;=DATE(2029,5,31),1,0))</f>
        <v/>
      </c>
      <c r="AI4" s="220">
        <f>IF(Assumptions!B52="",0,IF(IFERROR(DATEVALUE(TEXT(Assumptions!B52,"MM/DD/YYYY")),0)&lt;=DATE(2029,6,30),1,0))</f>
        <v/>
      </c>
      <c r="AJ4" s="220">
        <f>IF(Assumptions!B52="",0,IF(IFERROR(DATEVALUE(TEXT(Assumptions!B52,"MM/DD/YYYY")),0)&lt;=DATE(2029,7,31),1,0))</f>
        <v/>
      </c>
      <c r="AK4" s="220">
        <f>IF(Assumptions!B52="",0,IF(IFERROR(DATEVALUE(TEXT(Assumptions!B52,"MM/DD/YYYY")),0)&lt;=DATE(2029,8,31),1,0))</f>
        <v/>
      </c>
      <c r="AL4" s="220">
        <f>IF(Assumptions!B52="",0,IF(IFERROR(DATEVALUE(TEXT(Assumptions!B52,"MM/DD/YYYY")),0)&lt;=DATE(2029,9,30),1,0))</f>
        <v/>
      </c>
      <c r="AM4" s="220">
        <f>IF(Assumptions!B52="",0,IF(IFERROR(DATEVALUE(TEXT(Assumptions!B52,"MM/DD/YYYY")),0)&lt;=DATE(2029,10,31),1,0))</f>
        <v/>
      </c>
      <c r="AN4" s="220">
        <f>IF(Assumptions!B52="",0,IF(IFERROR(DATEVALUE(TEXT(Assumptions!B52,"MM/DD/YYYY")),0)&lt;=DATE(2029,11,30),1,0))</f>
        <v/>
      </c>
      <c r="AO4" s="220">
        <f>IF(Assumptions!B52="",0,IF(IFERROR(DATEVALUE(TEXT(Assumptions!B52,"MM/DD/YYYY")),0)&lt;=DATE(2029,12,31),1,0))</f>
        <v/>
      </c>
      <c r="AP4" s="220">
        <f>IF(Assumptions!B52="",0,IF(IFERROR(DATEVALUE(TEXT(Assumptions!B52,"MM/DD/YYYY")),0)&lt;=DATE(2030,1,31),1,0))</f>
        <v/>
      </c>
      <c r="AQ4" s="220">
        <f>IF(Assumptions!B52="",0,IF(IFERROR(DATEVALUE(TEXT(Assumptions!B52,"MM/DD/YYYY")),0)&lt;=DATE(2030,2,28),1,0))</f>
        <v/>
      </c>
      <c r="AR4" s="220">
        <f>IF(Assumptions!B52="",0,IF(IFERROR(DATEVALUE(TEXT(Assumptions!B52,"MM/DD/YYYY")),0)&lt;=DATE(2030,3,31),1,0))</f>
        <v/>
      </c>
      <c r="AS4" s="220">
        <f>IF(Assumptions!B52="",0,IF(IFERROR(DATEVALUE(TEXT(Assumptions!B52,"MM/DD/YYYY")),0)&lt;=DATE(2030,4,30),1,0))</f>
        <v/>
      </c>
      <c r="AT4" s="220">
        <f>IF(Assumptions!B52="",0,IF(IFERROR(DATEVALUE(TEXT(Assumptions!B52,"MM/DD/YYYY")),0)&lt;=DATE(2030,5,31),1,0))</f>
        <v/>
      </c>
      <c r="AU4" s="220">
        <f>IF(Assumptions!B52="",0,IF(IFERROR(DATEVALUE(TEXT(Assumptions!B52,"MM/DD/YYYY")),0)&lt;=DATE(2030,6,30),1,0))</f>
        <v/>
      </c>
      <c r="AV4" s="220">
        <f>IF(Assumptions!B52="",0,IF(IFERROR(DATEVALUE(TEXT(Assumptions!B52,"MM/DD/YYYY")),0)&lt;=DATE(2030,7,31),1,0))</f>
        <v/>
      </c>
      <c r="AW4" s="220">
        <f>IF(Assumptions!B52="",0,IF(IFERROR(DATEVALUE(TEXT(Assumptions!B52,"MM/DD/YYYY")),0)&lt;=DATE(2030,8,31),1,0))</f>
        <v/>
      </c>
      <c r="AX4" s="220">
        <f>IF(Assumptions!B52="",0,IF(IFERROR(DATEVALUE(TEXT(Assumptions!B52,"MM/DD/YYYY")),0)&lt;=DATE(2030,9,30),1,0))</f>
        <v/>
      </c>
      <c r="AY4" s="220">
        <f>IF(Assumptions!B52="",0,IF(IFERROR(DATEVALUE(TEXT(Assumptions!B52,"MM/DD/YYYY")),0)&lt;=DATE(2030,10,31),1,0))</f>
        <v/>
      </c>
      <c r="AZ4" s="220">
        <f>IF(Assumptions!B52="",0,IF(IFERROR(DATEVALUE(TEXT(Assumptions!B52,"MM/DD/YYYY")),0)&lt;=DATE(2030,11,30),1,0))</f>
        <v/>
      </c>
      <c r="BA4" s="220">
        <f>IF(Assumptions!B52="",0,IF(IFERROR(DATEVALUE(TEXT(Assumptions!B52,"MM/DD/YYYY")),0)&lt;=DATE(2030,12,31),1,0))</f>
        <v/>
      </c>
      <c r="BB4" s="220">
        <f>IF(Assumptions!B52="",0,IF(IFERROR(DATEVALUE(TEXT(Assumptions!B52,"MM/DD/YYYY")),0)&lt;=DATE(2031,1,31),1,0))</f>
        <v/>
      </c>
      <c r="BC4" s="220">
        <f>IF(Assumptions!B52="",0,IF(IFERROR(DATEVALUE(TEXT(Assumptions!B52,"MM/DD/YYYY")),0)&lt;=DATE(2031,2,28),1,0))</f>
        <v/>
      </c>
      <c r="BD4" s="220">
        <f>IF(Assumptions!B52="",0,IF(IFERROR(DATEVALUE(TEXT(Assumptions!B52,"MM/DD/YYYY")),0)&lt;=DATE(2031,3,31),1,0))</f>
        <v/>
      </c>
      <c r="BE4" s="220">
        <f>IF(Assumptions!B52="",0,IF(IFERROR(DATEVALUE(TEXT(Assumptions!B52,"MM/DD/YYYY")),0)&lt;=DATE(2031,4,30),1,0))</f>
        <v/>
      </c>
      <c r="BF4" s="220">
        <f>IF(Assumptions!B52="",0,IF(IFERROR(DATEVALUE(TEXT(Assumptions!B52,"MM/DD/YYYY")),0)&lt;=DATE(2031,5,31),1,0))</f>
        <v/>
      </c>
      <c r="BG4" s="220">
        <f>IF(Assumptions!B52="",0,IF(IFERROR(DATEVALUE(TEXT(Assumptions!B52,"MM/DD/YYYY")),0)&lt;=DATE(2031,6,30),1,0))</f>
        <v/>
      </c>
      <c r="BH4" s="220">
        <f>IF(Assumptions!B52="",0,IF(IFERROR(DATEVALUE(TEXT(Assumptions!B52,"MM/DD/YYYY")),0)&lt;=DATE(2031,7,31),1,0))</f>
        <v/>
      </c>
      <c r="BI4" s="220">
        <f>IF(Assumptions!B52="",0,IF(IFERROR(DATEVALUE(TEXT(Assumptions!B52,"MM/DD/YYYY")),0)&lt;=DATE(2031,8,31),1,0))</f>
        <v/>
      </c>
      <c r="BJ4" s="220">
        <f>IF(Assumptions!B52="",0,IF(IFERROR(DATEVALUE(TEXT(Assumptions!B52,"MM/DD/YYYY")),0)&lt;=DATE(2031,9,30),1,0))</f>
        <v/>
      </c>
    </row>
    <row r="5" ht="15" customHeight="1" s="104">
      <c r="A5" s="106" t="inlineStr">
        <is>
          <t>REVENUE</t>
        </is>
      </c>
    </row>
    <row r="6" ht="15" customHeight="1" s="104">
      <c r="A6" s="116" t="inlineStr">
        <is>
          <t>Monthly Revenue</t>
        </is>
      </c>
      <c r="C6" s="151">
        <f>IF(C4=0,0,(Assumptions!C52/12))</f>
        <v/>
      </c>
      <c r="D6" s="151">
        <f>IF(D4=0,0,(Assumptions!C52/12)*POWER(1+Assumptions!B17,1/12))</f>
        <v/>
      </c>
      <c r="E6" s="151">
        <f>IF(E4=0,0,(Assumptions!C52/12)*POWER(1+Assumptions!B17,2/12))</f>
        <v/>
      </c>
      <c r="F6" s="151">
        <f>IF(F4=0,0,(Assumptions!C52/12)*POWER(1+Assumptions!B17,3/12))</f>
        <v/>
      </c>
      <c r="G6" s="151">
        <f>IF(G4=0,0,(Assumptions!C52/12)*POWER(1+Assumptions!B17,4/12))</f>
        <v/>
      </c>
      <c r="H6" s="151">
        <f>IF(H4=0,0,(Assumptions!C52/12)*POWER(1+Assumptions!B17,5/12))</f>
        <v/>
      </c>
      <c r="I6" s="151">
        <f>IF(I4=0,0,(Assumptions!C52/12)*POWER(1+Assumptions!B17,6/12))</f>
        <v/>
      </c>
      <c r="J6" s="151">
        <f>IF(J4=0,0,(Assumptions!C52/12)*POWER(1+Assumptions!B17,7/12))</f>
        <v/>
      </c>
      <c r="K6" s="151">
        <f>IF(K4=0,0,(Assumptions!C52/12)*POWER(1+Assumptions!B17,8/12))</f>
        <v/>
      </c>
      <c r="L6" s="151">
        <f>IF(L4=0,0,(Assumptions!C52/12)*POWER(1+Assumptions!B17,9/12))</f>
        <v/>
      </c>
      <c r="M6" s="151">
        <f>IF(M4=0,0,(Assumptions!C52/12)*POWER(1+Assumptions!B17,10/12))</f>
        <v/>
      </c>
      <c r="N6" s="151">
        <f>IF(N4=0,0,(Assumptions!C52/12)*POWER(1+Assumptions!B17,11/12))</f>
        <v/>
      </c>
      <c r="O6" s="151">
        <f>IF(O4=0,0,(Assumptions!C52*(1+Assumptions!B17)/12))</f>
        <v/>
      </c>
      <c r="P6" s="151">
        <f>IF(P4=0,0,(Assumptions!C52*(1+Assumptions!B17)/12)*POWER(1+Assumptions!B18,1/12))</f>
        <v/>
      </c>
      <c r="Q6" s="151">
        <f>IF(Q4=0,0,(Assumptions!C52*(1+Assumptions!B17)/12)*POWER(1+Assumptions!B18,2/12))</f>
        <v/>
      </c>
      <c r="R6" s="151">
        <f>IF(R4=0,0,(Assumptions!C52*(1+Assumptions!B17)/12)*POWER(1+Assumptions!B18,3/12))</f>
        <v/>
      </c>
      <c r="S6" s="151">
        <f>IF(S4=0,0,(Assumptions!C52*(1+Assumptions!B17)/12)*POWER(1+Assumptions!B18,4/12))</f>
        <v/>
      </c>
      <c r="T6" s="151">
        <f>IF(T4=0,0,(Assumptions!C52*(1+Assumptions!B17)/12)*POWER(1+Assumptions!B18,5/12))</f>
        <v/>
      </c>
      <c r="U6" s="151">
        <f>IF(U4=0,0,(Assumptions!C52*(1+Assumptions!B17)/12)*POWER(1+Assumptions!B18,6/12))</f>
        <v/>
      </c>
      <c r="V6" s="151">
        <f>IF(V4=0,0,(Assumptions!C52*(1+Assumptions!B17)/12)*POWER(1+Assumptions!B18,7/12))</f>
        <v/>
      </c>
      <c r="W6" s="151">
        <f>IF(W4=0,0,(Assumptions!C52*(1+Assumptions!B17)/12)*POWER(1+Assumptions!B18,8/12))</f>
        <v/>
      </c>
      <c r="X6" s="151">
        <f>IF(X4=0,0,(Assumptions!C52*(1+Assumptions!B17)/12)*POWER(1+Assumptions!B18,9/12))</f>
        <v/>
      </c>
      <c r="Y6" s="151">
        <f>IF(Y4=0,0,(Assumptions!C52*(1+Assumptions!B17)/12)*POWER(1+Assumptions!B18,10/12))</f>
        <v/>
      </c>
      <c r="Z6" s="151">
        <f>IF(Z4=0,0,(Assumptions!C52*(1+Assumptions!B17)/12)*POWER(1+Assumptions!B18,11/12))</f>
        <v/>
      </c>
      <c r="AA6" s="151">
        <f>IF(AA4=0,0,(Assumptions!C52*(1+Assumptions!B17)*(1+Assumptions!B18)/12))</f>
        <v/>
      </c>
      <c r="AB6" s="151">
        <f>IF(AB4=0,0,(Assumptions!C52*(1+Assumptions!B17)*(1+Assumptions!B18)/12)*POWER(1+Assumptions!B19,1/12))</f>
        <v/>
      </c>
      <c r="AC6" s="151">
        <f>IF(AC4=0,0,(Assumptions!C52*(1+Assumptions!B17)*(1+Assumptions!B18)/12)*POWER(1+Assumptions!B19,2/12))</f>
        <v/>
      </c>
      <c r="AD6" s="151">
        <f>IF(AD4=0,0,(Assumptions!C52*(1+Assumptions!B17)*(1+Assumptions!B18)/12)*POWER(1+Assumptions!B19,3/12))</f>
        <v/>
      </c>
      <c r="AE6" s="151">
        <f>IF(AE4=0,0,(Assumptions!C52*(1+Assumptions!B17)*(1+Assumptions!B18)/12)*POWER(1+Assumptions!B19,4/12))</f>
        <v/>
      </c>
      <c r="AF6" s="151">
        <f>IF(AF4=0,0,(Assumptions!C52*(1+Assumptions!B17)*(1+Assumptions!B18)/12)*POWER(1+Assumptions!B19,5/12))</f>
        <v/>
      </c>
      <c r="AG6" s="151">
        <f>IF(AG4=0,0,(Assumptions!C52*(1+Assumptions!B17)*(1+Assumptions!B18)/12)*POWER(1+Assumptions!B19,6/12))</f>
        <v/>
      </c>
      <c r="AH6" s="151">
        <f>IF(AH4=0,0,(Assumptions!C52*(1+Assumptions!B17)*(1+Assumptions!B18)/12)*POWER(1+Assumptions!B19,7/12))</f>
        <v/>
      </c>
      <c r="AI6" s="151">
        <f>IF(AI4=0,0,(Assumptions!C52*(1+Assumptions!B17)*(1+Assumptions!B18)/12)*POWER(1+Assumptions!B19,8/12))</f>
        <v/>
      </c>
      <c r="AJ6" s="151">
        <f>IF(AJ4=0,0,(Assumptions!C52*(1+Assumptions!B17)*(1+Assumptions!B18)/12)*POWER(1+Assumptions!B19,9/12))</f>
        <v/>
      </c>
      <c r="AK6" s="151">
        <f>IF(AK4=0,0,(Assumptions!C52*(1+Assumptions!B17)*(1+Assumptions!B18)/12)*POWER(1+Assumptions!B19,10/12))</f>
        <v/>
      </c>
      <c r="AL6" s="151">
        <f>IF(AL4=0,0,(Assumptions!C52*(1+Assumptions!B17)*(1+Assumptions!B18)/12)*POWER(1+Assumptions!B19,11/12))</f>
        <v/>
      </c>
      <c r="AM6" s="151">
        <f>IF(AM4=0,0,(Assumptions!C52*(1+Assumptions!B17)*(1+Assumptions!B18)*(1+Assumptions!B19)/12))</f>
        <v/>
      </c>
      <c r="AN6" s="151">
        <f>IF(AN4=0,0,(Assumptions!C52*(1+Assumptions!B17)*(1+Assumptions!B18)*(1+Assumptions!B19)/12)*POWER(1+Assumptions!B20,1/12))</f>
        <v/>
      </c>
      <c r="AO6" s="151">
        <f>IF(AO4=0,0,(Assumptions!C52*(1+Assumptions!B17)*(1+Assumptions!B18)*(1+Assumptions!B19)/12)*POWER(1+Assumptions!B20,2/12))</f>
        <v/>
      </c>
      <c r="AP6" s="151">
        <f>IF(AP4=0,0,(Assumptions!C52*(1+Assumptions!B17)*(1+Assumptions!B18)*(1+Assumptions!B19)/12)*POWER(1+Assumptions!B20,3/12))</f>
        <v/>
      </c>
      <c r="AQ6" s="151">
        <f>IF(AQ4=0,0,(Assumptions!C52*(1+Assumptions!B17)*(1+Assumptions!B18)*(1+Assumptions!B19)/12)*POWER(1+Assumptions!B20,4/12))</f>
        <v/>
      </c>
      <c r="AR6" s="151">
        <f>IF(AR4=0,0,(Assumptions!C52*(1+Assumptions!B17)*(1+Assumptions!B18)*(1+Assumptions!B19)/12)*POWER(1+Assumptions!B20,5/12))</f>
        <v/>
      </c>
      <c r="AS6" s="151">
        <f>IF(AS4=0,0,(Assumptions!C52*(1+Assumptions!B17)*(1+Assumptions!B18)*(1+Assumptions!B19)/12)*POWER(1+Assumptions!B20,6/12))</f>
        <v/>
      </c>
      <c r="AT6" s="151">
        <f>IF(AT4=0,0,(Assumptions!C52*(1+Assumptions!B17)*(1+Assumptions!B18)*(1+Assumptions!B19)/12)*POWER(1+Assumptions!B20,7/12))</f>
        <v/>
      </c>
      <c r="AU6" s="151">
        <f>IF(AU4=0,0,(Assumptions!C52*(1+Assumptions!B17)*(1+Assumptions!B18)*(1+Assumptions!B19)/12)*POWER(1+Assumptions!B20,8/12))</f>
        <v/>
      </c>
      <c r="AV6" s="151">
        <f>IF(AV4=0,0,(Assumptions!C52*(1+Assumptions!B17)*(1+Assumptions!B18)*(1+Assumptions!B19)/12)*POWER(1+Assumptions!B20,9/12))</f>
        <v/>
      </c>
      <c r="AW6" s="151">
        <f>IF(AW4=0,0,(Assumptions!C52*(1+Assumptions!B17)*(1+Assumptions!B18)*(1+Assumptions!B19)/12)*POWER(1+Assumptions!B20,10/12))</f>
        <v/>
      </c>
      <c r="AX6" s="151">
        <f>IF(AX4=0,0,(Assumptions!C52*(1+Assumptions!B17)*(1+Assumptions!B18)*(1+Assumptions!B19)/12)*POWER(1+Assumptions!B20,11/12))</f>
        <v/>
      </c>
      <c r="AY6" s="151">
        <f>IF(AY4=0,0,(Assumptions!C52*(1+Assumptions!B17)*(1+Assumptions!B18)*(1+Assumptions!B19)*(1+Assumptions!B20)/12))</f>
        <v/>
      </c>
      <c r="AZ6" s="151">
        <f>IF(AZ4=0,0,(Assumptions!C52*(1+Assumptions!B17)*(1+Assumptions!B18)*(1+Assumptions!B19)*(1+Assumptions!B20)/12)*POWER(1+Assumptions!B21,1/12))</f>
        <v/>
      </c>
      <c r="BA6" s="151">
        <f>IF(BA4=0,0,(Assumptions!C52*(1+Assumptions!B17)*(1+Assumptions!B18)*(1+Assumptions!B19)*(1+Assumptions!B20)/12)*POWER(1+Assumptions!B21,2/12))</f>
        <v/>
      </c>
      <c r="BB6" s="151">
        <f>IF(BB4=0,0,(Assumptions!C52*(1+Assumptions!B17)*(1+Assumptions!B18)*(1+Assumptions!B19)*(1+Assumptions!B20)/12)*POWER(1+Assumptions!B21,3/12))</f>
        <v/>
      </c>
      <c r="BC6" s="151">
        <f>IF(BC4=0,0,(Assumptions!C52*(1+Assumptions!B17)*(1+Assumptions!B18)*(1+Assumptions!B19)*(1+Assumptions!B20)/12)*POWER(1+Assumptions!B21,4/12))</f>
        <v/>
      </c>
      <c r="BD6" s="151">
        <f>IF(BD4=0,0,(Assumptions!C52*(1+Assumptions!B17)*(1+Assumptions!B18)*(1+Assumptions!B19)*(1+Assumptions!B20)/12)*POWER(1+Assumptions!B21,5/12))</f>
        <v/>
      </c>
      <c r="BE6" s="151">
        <f>IF(BE4=0,0,(Assumptions!C52*(1+Assumptions!B17)*(1+Assumptions!B18)*(1+Assumptions!B19)*(1+Assumptions!B20)/12)*POWER(1+Assumptions!B21,6/12))</f>
        <v/>
      </c>
      <c r="BF6" s="151">
        <f>IF(BF4=0,0,(Assumptions!C52*(1+Assumptions!B17)*(1+Assumptions!B18)*(1+Assumptions!B19)*(1+Assumptions!B20)/12)*POWER(1+Assumptions!B21,7/12))</f>
        <v/>
      </c>
      <c r="BG6" s="151">
        <f>IF(BG4=0,0,(Assumptions!C52*(1+Assumptions!B17)*(1+Assumptions!B18)*(1+Assumptions!B19)*(1+Assumptions!B20)/12)*POWER(1+Assumptions!B21,8/12))</f>
        <v/>
      </c>
      <c r="BH6" s="151">
        <f>IF(BH4=0,0,(Assumptions!C52*(1+Assumptions!B17)*(1+Assumptions!B18)*(1+Assumptions!B19)*(1+Assumptions!B20)/12)*POWER(1+Assumptions!B21,9/12))</f>
        <v/>
      </c>
      <c r="BI6" s="151">
        <f>IF(BI4=0,0,(Assumptions!C52*(1+Assumptions!B17)*(1+Assumptions!B18)*(1+Assumptions!B19)*(1+Assumptions!B20)/12)*POWER(1+Assumptions!B21,10/12))</f>
        <v/>
      </c>
      <c r="BJ6" s="151">
        <f>IF(BJ4=0,0,(Assumptions!C52*(1+Assumptions!B17)*(1+Assumptions!B18)*(1+Assumptions!B19)*(1+Assumptions!B20)/12)*POWER(1+Assumptions!B21,11/12))</f>
        <v/>
      </c>
      <c r="BL6" s="152">
        <f>C6+D6+E6+F6+G6+H6+I6+J6+K6+L6+M6+N6</f>
        <v/>
      </c>
      <c r="BM6" s="152">
        <f>O6+P6+Q6+R6+S6+T6+U6+V6+W6+X6+Y6+Z6</f>
        <v/>
      </c>
      <c r="BN6" s="152">
        <f>AA6+AB6+AC6+AD6+AE6+AF6+AG6+AH6+AI6+AJ6+AK6+AL6</f>
        <v/>
      </c>
      <c r="BO6" s="152">
        <f>AM6+AN6+AO6+AP6+AQ6+AR6+AS6+AT6+AU6+AV6+AW6+AX6</f>
        <v/>
      </c>
      <c r="BP6" s="152">
        <f>AY6+AZ6+BA6+BB6+BC6+BD6+BE6+BF6+BG6+BH6+BI6+BJ6</f>
        <v/>
      </c>
    </row>
    <row r="7" ht="15" customHeight="1" s="104">
      <c r="A7" s="106" t="inlineStr">
        <is>
          <t>OPERATING EXPENSES</t>
        </is>
      </c>
    </row>
    <row r="8" ht="15" customHeight="1" s="104">
      <c r="A8" s="107" t="inlineStr">
        <is>
          <t>Attorney Compensation</t>
        </is>
      </c>
      <c r="C8" s="156">
        <f>C6*(Assumptions!B24+Assumptions!B25*0)</f>
        <v/>
      </c>
      <c r="D8" s="156">
        <f>D6*(Assumptions!B24+Assumptions!B25*0)</f>
        <v/>
      </c>
      <c r="E8" s="156">
        <f>E6*(Assumptions!B24+Assumptions!B25*0)</f>
        <v/>
      </c>
      <c r="F8" s="156">
        <f>F6*(Assumptions!B24+Assumptions!B25*0)</f>
        <v/>
      </c>
      <c r="G8" s="156">
        <f>G6*(Assumptions!B24+Assumptions!B25*0)</f>
        <v/>
      </c>
      <c r="H8" s="156">
        <f>H6*(Assumptions!B24+Assumptions!B25*0)</f>
        <v/>
      </c>
      <c r="I8" s="156">
        <f>I6*(Assumptions!B24+Assumptions!B25*0)</f>
        <v/>
      </c>
      <c r="J8" s="156">
        <f>J6*(Assumptions!B24+Assumptions!B25*0)</f>
        <v/>
      </c>
      <c r="K8" s="156">
        <f>K6*(Assumptions!B24+Assumptions!B25*0)</f>
        <v/>
      </c>
      <c r="L8" s="156">
        <f>L6*(Assumptions!B24+Assumptions!B25*0)</f>
        <v/>
      </c>
      <c r="M8" s="156">
        <f>M6*(Assumptions!B24+Assumptions!B25*0)</f>
        <v/>
      </c>
      <c r="N8" s="156">
        <f>N6*(Assumptions!B24+Assumptions!B25*0)</f>
        <v/>
      </c>
      <c r="O8" s="156">
        <f>O6*(Assumptions!B24+Assumptions!B25*1)</f>
        <v/>
      </c>
      <c r="P8" s="156">
        <f>P6*(Assumptions!B24+Assumptions!B25*1)</f>
        <v/>
      </c>
      <c r="Q8" s="156">
        <f>Q6*(Assumptions!B24+Assumptions!B25*1)</f>
        <v/>
      </c>
      <c r="R8" s="156">
        <f>R6*(Assumptions!B24+Assumptions!B25*1)</f>
        <v/>
      </c>
      <c r="S8" s="156">
        <f>S6*(Assumptions!B24+Assumptions!B25*1)</f>
        <v/>
      </c>
      <c r="T8" s="156">
        <f>T6*(Assumptions!B24+Assumptions!B25*1)</f>
        <v/>
      </c>
      <c r="U8" s="156">
        <f>U6*(Assumptions!B24+Assumptions!B25*1)</f>
        <v/>
      </c>
      <c r="V8" s="156">
        <f>V6*(Assumptions!B24+Assumptions!B25*1)</f>
        <v/>
      </c>
      <c r="W8" s="156">
        <f>W6*(Assumptions!B24+Assumptions!B25*1)</f>
        <v/>
      </c>
      <c r="X8" s="156">
        <f>X6*(Assumptions!B24+Assumptions!B25*1)</f>
        <v/>
      </c>
      <c r="Y8" s="156">
        <f>Y6*(Assumptions!B24+Assumptions!B25*1)</f>
        <v/>
      </c>
      <c r="Z8" s="156">
        <f>Z6*(Assumptions!B24+Assumptions!B25*1)</f>
        <v/>
      </c>
      <c r="AA8" s="156">
        <f>AA6*(Assumptions!B24+Assumptions!B25*2)</f>
        <v/>
      </c>
      <c r="AB8" s="156">
        <f>AB6*(Assumptions!B24+Assumptions!B25*2)</f>
        <v/>
      </c>
      <c r="AC8" s="156">
        <f>AC6*(Assumptions!B24+Assumptions!B25*2)</f>
        <v/>
      </c>
      <c r="AD8" s="156">
        <f>AD6*(Assumptions!B24+Assumptions!B25*2)</f>
        <v/>
      </c>
      <c r="AE8" s="156">
        <f>AE6*(Assumptions!B24+Assumptions!B25*2)</f>
        <v/>
      </c>
      <c r="AF8" s="156">
        <f>AF6*(Assumptions!B24+Assumptions!B25*2)</f>
        <v/>
      </c>
      <c r="AG8" s="156">
        <f>AG6*(Assumptions!B24+Assumptions!B25*2)</f>
        <v/>
      </c>
      <c r="AH8" s="156">
        <f>AH6*(Assumptions!B24+Assumptions!B25*2)</f>
        <v/>
      </c>
      <c r="AI8" s="156">
        <f>AI6*(Assumptions!B24+Assumptions!B25*2)</f>
        <v/>
      </c>
      <c r="AJ8" s="156">
        <f>AJ6*(Assumptions!B24+Assumptions!B25*2)</f>
        <v/>
      </c>
      <c r="AK8" s="156">
        <f>AK6*(Assumptions!B24+Assumptions!B25*2)</f>
        <v/>
      </c>
      <c r="AL8" s="156">
        <f>AL6*(Assumptions!B24+Assumptions!B25*2)</f>
        <v/>
      </c>
      <c r="AM8" s="156">
        <f>AM6*(Assumptions!B24+Assumptions!B25*3)</f>
        <v/>
      </c>
      <c r="AN8" s="156">
        <f>AN6*(Assumptions!B24+Assumptions!B25*3)</f>
        <v/>
      </c>
      <c r="AO8" s="156">
        <f>AO6*(Assumptions!B24+Assumptions!B25*3)</f>
        <v/>
      </c>
      <c r="AP8" s="156">
        <f>AP6*(Assumptions!B24+Assumptions!B25*3)</f>
        <v/>
      </c>
      <c r="AQ8" s="156">
        <f>AQ6*(Assumptions!B24+Assumptions!B25*3)</f>
        <v/>
      </c>
      <c r="AR8" s="156">
        <f>AR6*(Assumptions!B24+Assumptions!B25*3)</f>
        <v/>
      </c>
      <c r="AS8" s="156">
        <f>AS6*(Assumptions!B24+Assumptions!B25*3)</f>
        <v/>
      </c>
      <c r="AT8" s="156">
        <f>AT6*(Assumptions!B24+Assumptions!B25*3)</f>
        <v/>
      </c>
      <c r="AU8" s="156">
        <f>AU6*(Assumptions!B24+Assumptions!B25*3)</f>
        <v/>
      </c>
      <c r="AV8" s="156">
        <f>AV6*(Assumptions!B24+Assumptions!B25*3)</f>
        <v/>
      </c>
      <c r="AW8" s="156">
        <f>AW6*(Assumptions!B24+Assumptions!B25*3)</f>
        <v/>
      </c>
      <c r="AX8" s="156">
        <f>AX6*(Assumptions!B24+Assumptions!B25*3)</f>
        <v/>
      </c>
      <c r="AY8" s="156">
        <f>AY6*(Assumptions!B24+Assumptions!B25*4)</f>
        <v/>
      </c>
      <c r="AZ8" s="156">
        <f>AZ6*(Assumptions!B24+Assumptions!B25*4)</f>
        <v/>
      </c>
      <c r="BA8" s="156">
        <f>BA6*(Assumptions!B24+Assumptions!B25*4)</f>
        <v/>
      </c>
      <c r="BB8" s="156">
        <f>BB6*(Assumptions!B24+Assumptions!B25*4)</f>
        <v/>
      </c>
      <c r="BC8" s="156">
        <f>BC6*(Assumptions!B24+Assumptions!B25*4)</f>
        <v/>
      </c>
      <c r="BD8" s="156">
        <f>BD6*(Assumptions!B24+Assumptions!B25*4)</f>
        <v/>
      </c>
      <c r="BE8" s="156">
        <f>BE6*(Assumptions!B24+Assumptions!B25*4)</f>
        <v/>
      </c>
      <c r="BF8" s="156">
        <f>BF6*(Assumptions!B24+Assumptions!B25*4)</f>
        <v/>
      </c>
      <c r="BG8" s="156">
        <f>BG6*(Assumptions!B24+Assumptions!B25*4)</f>
        <v/>
      </c>
      <c r="BH8" s="156">
        <f>BH6*(Assumptions!B24+Assumptions!B25*4)</f>
        <v/>
      </c>
      <c r="BI8" s="156">
        <f>BI6*(Assumptions!B24+Assumptions!B25*4)</f>
        <v/>
      </c>
      <c r="BJ8" s="156">
        <f>BJ6*(Assumptions!B24+Assumptions!B25*4)</f>
        <v/>
      </c>
      <c r="BL8" s="157">
        <f>C8+D8+E8+F8+G8+H8+I8+J8+K8+L8+M8+N8</f>
        <v/>
      </c>
      <c r="BM8" s="157">
        <f>O8+P8+Q8+R8+S8+T8+U8+V8+W8+X8+Y8+Z8</f>
        <v/>
      </c>
      <c r="BN8" s="157">
        <f>AA8+AB8+AC8+AD8+AE8+AF8+AG8+AH8+AI8+AJ8+AK8+AL8</f>
        <v/>
      </c>
      <c r="BO8" s="157">
        <f>AM8+AN8+AO8+AP8+AQ8+AR8+AS8+AT8+AU8+AV8+AW8+AX8</f>
        <v/>
      </c>
      <c r="BP8" s="157">
        <f>AY8+AZ8+BA8+BB8+BC8+BD8+BE8+BF8+BG8+BH8+BI8+BJ8</f>
        <v/>
      </c>
    </row>
    <row r="9" ht="15" customHeight="1" s="104">
      <c r="A9" s="215" t="inlineStr">
        <is>
          <t xml:space="preserve">    % of Revenue</t>
        </is>
      </c>
      <c r="C9" s="216">
        <f>IF(C6=0,0,C8/C6)</f>
        <v/>
      </c>
      <c r="D9" s="216">
        <f>IF(D6=0,0,D8/D6)</f>
        <v/>
      </c>
      <c r="E9" s="216">
        <f>IF(E6=0,0,E8/E6)</f>
        <v/>
      </c>
      <c r="F9" s="216">
        <f>IF(F6=0,0,F8/F6)</f>
        <v/>
      </c>
      <c r="G9" s="216">
        <f>IF(G6=0,0,G8/G6)</f>
        <v/>
      </c>
      <c r="H9" s="216">
        <f>IF(H6=0,0,H8/H6)</f>
        <v/>
      </c>
      <c r="I9" s="216">
        <f>IF(I6=0,0,I8/I6)</f>
        <v/>
      </c>
      <c r="J9" s="216">
        <f>IF(J6=0,0,J8/J6)</f>
        <v/>
      </c>
      <c r="K9" s="216">
        <f>IF(K6=0,0,K8/K6)</f>
        <v/>
      </c>
      <c r="L9" s="216">
        <f>IF(L6=0,0,L8/L6)</f>
        <v/>
      </c>
      <c r="M9" s="216">
        <f>IF(M6=0,0,M8/M6)</f>
        <v/>
      </c>
      <c r="N9" s="216">
        <f>IF(N6=0,0,N8/N6)</f>
        <v/>
      </c>
      <c r="O9" s="216">
        <f>IF(O6=0,0,O8/O6)</f>
        <v/>
      </c>
      <c r="P9" s="216">
        <f>IF(P6=0,0,P8/P6)</f>
        <v/>
      </c>
      <c r="Q9" s="216">
        <f>IF(Q6=0,0,Q8/Q6)</f>
        <v/>
      </c>
      <c r="R9" s="216">
        <f>IF(R6=0,0,R8/R6)</f>
        <v/>
      </c>
      <c r="S9" s="216">
        <f>IF(S6=0,0,S8/S6)</f>
        <v/>
      </c>
      <c r="T9" s="216">
        <f>IF(T6=0,0,T8/T6)</f>
        <v/>
      </c>
      <c r="U9" s="216">
        <f>IF(U6=0,0,U8/U6)</f>
        <v/>
      </c>
      <c r="V9" s="216">
        <f>IF(V6=0,0,V8/V6)</f>
        <v/>
      </c>
      <c r="W9" s="216">
        <f>IF(W6=0,0,W8/W6)</f>
        <v/>
      </c>
      <c r="X9" s="216">
        <f>IF(X6=0,0,X8/X6)</f>
        <v/>
      </c>
      <c r="Y9" s="216">
        <f>IF(Y6=0,0,Y8/Y6)</f>
        <v/>
      </c>
      <c r="Z9" s="216">
        <f>IF(Z6=0,0,Z8/Z6)</f>
        <v/>
      </c>
      <c r="AA9" s="216">
        <f>IF(AA6=0,0,AA8/AA6)</f>
        <v/>
      </c>
      <c r="AB9" s="216">
        <f>IF(AB6=0,0,AB8/AB6)</f>
        <v/>
      </c>
      <c r="AC9" s="216">
        <f>IF(AC6=0,0,AC8/AC6)</f>
        <v/>
      </c>
      <c r="AD9" s="216">
        <f>IF(AD6=0,0,AD8/AD6)</f>
        <v/>
      </c>
      <c r="AE9" s="216">
        <f>IF(AE6=0,0,AE8/AE6)</f>
        <v/>
      </c>
      <c r="AF9" s="216">
        <f>IF(AF6=0,0,AF8/AF6)</f>
        <v/>
      </c>
      <c r="AG9" s="216">
        <f>IF(AG6=0,0,AG8/AG6)</f>
        <v/>
      </c>
      <c r="AH9" s="216">
        <f>IF(AH6=0,0,AH8/AH6)</f>
        <v/>
      </c>
      <c r="AI9" s="216">
        <f>IF(AI6=0,0,AI8/AI6)</f>
        <v/>
      </c>
      <c r="AJ9" s="216">
        <f>IF(AJ6=0,0,AJ8/AJ6)</f>
        <v/>
      </c>
      <c r="AK9" s="216">
        <f>IF(AK6=0,0,AK8/AK6)</f>
        <v/>
      </c>
      <c r="AL9" s="216">
        <f>IF(AL6=0,0,AL8/AL6)</f>
        <v/>
      </c>
      <c r="AM9" s="216">
        <f>IF(AM6=0,0,AM8/AM6)</f>
        <v/>
      </c>
      <c r="AN9" s="216">
        <f>IF(AN6=0,0,AN8/AN6)</f>
        <v/>
      </c>
      <c r="AO9" s="216">
        <f>IF(AO6=0,0,AO8/AO6)</f>
        <v/>
      </c>
      <c r="AP9" s="216">
        <f>IF(AP6=0,0,AP8/AP6)</f>
        <v/>
      </c>
      <c r="AQ9" s="216">
        <f>IF(AQ6=0,0,AQ8/AQ6)</f>
        <v/>
      </c>
      <c r="AR9" s="216">
        <f>IF(AR6=0,0,AR8/AR6)</f>
        <v/>
      </c>
      <c r="AS9" s="216">
        <f>IF(AS6=0,0,AS8/AS6)</f>
        <v/>
      </c>
      <c r="AT9" s="216">
        <f>IF(AT6=0,0,AT8/AT6)</f>
        <v/>
      </c>
      <c r="AU9" s="216">
        <f>IF(AU6=0,0,AU8/AU6)</f>
        <v/>
      </c>
      <c r="AV9" s="216">
        <f>IF(AV6=0,0,AV8/AV6)</f>
        <v/>
      </c>
      <c r="AW9" s="216">
        <f>IF(AW6=0,0,AW8/AW6)</f>
        <v/>
      </c>
      <c r="AX9" s="216">
        <f>IF(AX6=0,0,AX8/AX6)</f>
        <v/>
      </c>
      <c r="AY9" s="216">
        <f>IF(AY6=0,0,AY8/AY6)</f>
        <v/>
      </c>
      <c r="AZ9" s="216">
        <f>IF(AZ6=0,0,AZ8/AZ6)</f>
        <v/>
      </c>
      <c r="BA9" s="216">
        <f>IF(BA6=0,0,BA8/BA6)</f>
        <v/>
      </c>
      <c r="BB9" s="216">
        <f>IF(BB6=0,0,BB8/BB6)</f>
        <v/>
      </c>
      <c r="BC9" s="216">
        <f>IF(BC6=0,0,BC8/BC6)</f>
        <v/>
      </c>
      <c r="BD9" s="216">
        <f>IF(BD6=0,0,BD8/BD6)</f>
        <v/>
      </c>
      <c r="BE9" s="216">
        <f>IF(BE6=0,0,BE8/BE6)</f>
        <v/>
      </c>
      <c r="BF9" s="216">
        <f>IF(BF6=0,0,BF8/BF6)</f>
        <v/>
      </c>
      <c r="BG9" s="216">
        <f>IF(BG6=0,0,BG8/BG6)</f>
        <v/>
      </c>
      <c r="BH9" s="216">
        <f>IF(BH6=0,0,BH8/BH6)</f>
        <v/>
      </c>
      <c r="BI9" s="216">
        <f>IF(BI6=0,0,BI8/BI6)</f>
        <v/>
      </c>
      <c r="BJ9" s="216">
        <f>IF(BJ6=0,0,BJ8/BJ6)</f>
        <v/>
      </c>
      <c r="BL9" s="217">
        <f>IF((C6+D6+E6+F6+G6+H6+I6+J6+K6+L6+M6+N6)=0,0,(C8+D8+E8+F8+G8+H8+I8+J8+K8+L8+M8+N8)/(C6+D6+E6+F6+G6+H6+I6+J6+K6+L6+M6+N6))</f>
        <v/>
      </c>
      <c r="BM9" s="217">
        <f>IF((O6+P6+Q6+R6+S6+T6+U6+V6+W6+X6+Y6+Z6)=0,0,(O8+P8+Q8+R8+S8+T8+U8+V8+W8+X8+Y8+Z8)/(O6+P6+Q6+R6+S6+T6+U6+V6+W6+X6+Y6+Z6))</f>
        <v/>
      </c>
      <c r="BN9" s="217">
        <f>IF((AA6+AB6+AC6+AD6+AE6+AF6+AG6+AH6+AI6+AJ6+AK6+AL6)=0,0,(AA8+AB8+AC8+AD8+AE8+AF8+AG8+AH8+AI8+AJ8+AK8+AL8)/(AA6+AB6+AC6+AD6+AE6+AF6+AG6+AH6+AI6+AJ6+AK6+AL6))</f>
        <v/>
      </c>
      <c r="BO9" s="217">
        <f>IF((AM6+AN6+AO6+AP6+AQ6+AR6+AS6+AT6+AU6+AV6+AW6+AX6)=0,0,(AM8+AN8+AO8+AP8+AQ8+AR8+AS8+AT8+AU8+AV8+AW8+AX8)/(AM6+AN6+AO6+AP6+AQ6+AR6+AS6+AT6+AU6+AV6+AW6+AX6))</f>
        <v/>
      </c>
      <c r="BP9" s="217">
        <f>IF((AY6+AZ6+BA6+BB6+BC6+BD6+BE6+BF6+BG6+BH6+BI6+BJ6)=0,0,(AY8+AZ8+BA8+BB8+BC8+BD8+BE8+BF8+BG8+BH8+BI8+BJ8)/(AY6+AZ6+BA6+BB6+BC6+BD6+BE6+BF6+BG6+BH6+BI6+BJ6))</f>
        <v/>
      </c>
    </row>
    <row r="10" ht="15" customHeight="1" s="104">
      <c r="A10" s="107" t="inlineStr">
        <is>
          <t>Staff Compensation</t>
        </is>
      </c>
      <c r="C10" s="156">
        <f>C6*(Assumptions!B26+Assumptions!B27*0)</f>
        <v/>
      </c>
      <c r="D10" s="156">
        <f>D6*(Assumptions!B26+Assumptions!B27*0)</f>
        <v/>
      </c>
      <c r="E10" s="156">
        <f>E6*(Assumptions!B26+Assumptions!B27*0)</f>
        <v/>
      </c>
      <c r="F10" s="156">
        <f>F6*(Assumptions!B26+Assumptions!B27*0)</f>
        <v/>
      </c>
      <c r="G10" s="156">
        <f>G6*(Assumptions!B26+Assumptions!B27*0)</f>
        <v/>
      </c>
      <c r="H10" s="156">
        <f>H6*(Assumptions!B26+Assumptions!B27*0)</f>
        <v/>
      </c>
      <c r="I10" s="156">
        <f>I6*(Assumptions!B26+Assumptions!B27*0)</f>
        <v/>
      </c>
      <c r="J10" s="156">
        <f>J6*(Assumptions!B26+Assumptions!B27*0)</f>
        <v/>
      </c>
      <c r="K10" s="156">
        <f>K6*(Assumptions!B26+Assumptions!B27*0)</f>
        <v/>
      </c>
      <c r="L10" s="156">
        <f>L6*(Assumptions!B26+Assumptions!B27*0)</f>
        <v/>
      </c>
      <c r="M10" s="156">
        <f>M6*(Assumptions!B26+Assumptions!B27*0)</f>
        <v/>
      </c>
      <c r="N10" s="156">
        <f>N6*(Assumptions!B26+Assumptions!B27*0)</f>
        <v/>
      </c>
      <c r="O10" s="156">
        <f>O6*(Assumptions!B26+Assumptions!B27*1)</f>
        <v/>
      </c>
      <c r="P10" s="156">
        <f>P6*(Assumptions!B26+Assumptions!B27*1)</f>
        <v/>
      </c>
      <c r="Q10" s="156">
        <f>Q6*(Assumptions!B26+Assumptions!B27*1)</f>
        <v/>
      </c>
      <c r="R10" s="156">
        <f>R6*(Assumptions!B26+Assumptions!B27*1)</f>
        <v/>
      </c>
      <c r="S10" s="156">
        <f>S6*(Assumptions!B26+Assumptions!B27*1)</f>
        <v/>
      </c>
      <c r="T10" s="156">
        <f>T6*(Assumptions!B26+Assumptions!B27*1)</f>
        <v/>
      </c>
      <c r="U10" s="156">
        <f>U6*(Assumptions!B26+Assumptions!B27*1)</f>
        <v/>
      </c>
      <c r="V10" s="156">
        <f>V6*(Assumptions!B26+Assumptions!B27*1)</f>
        <v/>
      </c>
      <c r="W10" s="156">
        <f>W6*(Assumptions!B26+Assumptions!B27*1)</f>
        <v/>
      </c>
      <c r="X10" s="156">
        <f>X6*(Assumptions!B26+Assumptions!B27*1)</f>
        <v/>
      </c>
      <c r="Y10" s="156">
        <f>Y6*(Assumptions!B26+Assumptions!B27*1)</f>
        <v/>
      </c>
      <c r="Z10" s="156">
        <f>Z6*(Assumptions!B26+Assumptions!B27*1)</f>
        <v/>
      </c>
      <c r="AA10" s="156">
        <f>AA6*(Assumptions!B26+Assumptions!B27*2)</f>
        <v/>
      </c>
      <c r="AB10" s="156">
        <f>AB6*(Assumptions!B26+Assumptions!B27*2)</f>
        <v/>
      </c>
      <c r="AC10" s="156">
        <f>AC6*(Assumptions!B26+Assumptions!B27*2)</f>
        <v/>
      </c>
      <c r="AD10" s="156">
        <f>AD6*(Assumptions!B26+Assumptions!B27*2)</f>
        <v/>
      </c>
      <c r="AE10" s="156">
        <f>AE6*(Assumptions!B26+Assumptions!B27*2)</f>
        <v/>
      </c>
      <c r="AF10" s="156">
        <f>AF6*(Assumptions!B26+Assumptions!B27*2)</f>
        <v/>
      </c>
      <c r="AG10" s="156">
        <f>AG6*(Assumptions!B26+Assumptions!B27*2)</f>
        <v/>
      </c>
      <c r="AH10" s="156">
        <f>AH6*(Assumptions!B26+Assumptions!B27*2)</f>
        <v/>
      </c>
      <c r="AI10" s="156">
        <f>AI6*(Assumptions!B26+Assumptions!B27*2)</f>
        <v/>
      </c>
      <c r="AJ10" s="156">
        <f>AJ6*(Assumptions!B26+Assumptions!B27*2)</f>
        <v/>
      </c>
      <c r="AK10" s="156">
        <f>AK6*(Assumptions!B26+Assumptions!B27*2)</f>
        <v/>
      </c>
      <c r="AL10" s="156">
        <f>AL6*(Assumptions!B26+Assumptions!B27*2)</f>
        <v/>
      </c>
      <c r="AM10" s="156">
        <f>AM6*(Assumptions!B26+Assumptions!B27*3)</f>
        <v/>
      </c>
      <c r="AN10" s="156">
        <f>AN6*(Assumptions!B26+Assumptions!B27*3)</f>
        <v/>
      </c>
      <c r="AO10" s="156">
        <f>AO6*(Assumptions!B26+Assumptions!B27*3)</f>
        <v/>
      </c>
      <c r="AP10" s="156">
        <f>AP6*(Assumptions!B26+Assumptions!B27*3)</f>
        <v/>
      </c>
      <c r="AQ10" s="156">
        <f>AQ6*(Assumptions!B26+Assumptions!B27*3)</f>
        <v/>
      </c>
      <c r="AR10" s="156">
        <f>AR6*(Assumptions!B26+Assumptions!B27*3)</f>
        <v/>
      </c>
      <c r="AS10" s="156">
        <f>AS6*(Assumptions!B26+Assumptions!B27*3)</f>
        <v/>
      </c>
      <c r="AT10" s="156">
        <f>AT6*(Assumptions!B26+Assumptions!B27*3)</f>
        <v/>
      </c>
      <c r="AU10" s="156">
        <f>AU6*(Assumptions!B26+Assumptions!B27*3)</f>
        <v/>
      </c>
      <c r="AV10" s="156">
        <f>AV6*(Assumptions!B26+Assumptions!B27*3)</f>
        <v/>
      </c>
      <c r="AW10" s="156">
        <f>AW6*(Assumptions!B26+Assumptions!B27*3)</f>
        <v/>
      </c>
      <c r="AX10" s="156">
        <f>AX6*(Assumptions!B26+Assumptions!B27*3)</f>
        <v/>
      </c>
      <c r="AY10" s="156">
        <f>AY6*(Assumptions!B26+Assumptions!B27*4)</f>
        <v/>
      </c>
      <c r="AZ10" s="156">
        <f>AZ6*(Assumptions!B26+Assumptions!B27*4)</f>
        <v/>
      </c>
      <c r="BA10" s="156">
        <f>BA6*(Assumptions!B26+Assumptions!B27*4)</f>
        <v/>
      </c>
      <c r="BB10" s="156">
        <f>BB6*(Assumptions!B26+Assumptions!B27*4)</f>
        <v/>
      </c>
      <c r="BC10" s="156">
        <f>BC6*(Assumptions!B26+Assumptions!B27*4)</f>
        <v/>
      </c>
      <c r="BD10" s="156">
        <f>BD6*(Assumptions!B26+Assumptions!B27*4)</f>
        <v/>
      </c>
      <c r="BE10" s="156">
        <f>BE6*(Assumptions!B26+Assumptions!B27*4)</f>
        <v/>
      </c>
      <c r="BF10" s="156">
        <f>BF6*(Assumptions!B26+Assumptions!B27*4)</f>
        <v/>
      </c>
      <c r="BG10" s="156">
        <f>BG6*(Assumptions!B26+Assumptions!B27*4)</f>
        <v/>
      </c>
      <c r="BH10" s="156">
        <f>BH6*(Assumptions!B26+Assumptions!B27*4)</f>
        <v/>
      </c>
      <c r="BI10" s="156">
        <f>BI6*(Assumptions!B26+Assumptions!B27*4)</f>
        <v/>
      </c>
      <c r="BJ10" s="156">
        <f>BJ6*(Assumptions!B26+Assumptions!B27*4)</f>
        <v/>
      </c>
      <c r="BL10" s="157">
        <f>C10+D10+E10+F10+G10+H10+I10+J10+K10+L10+M10+N10</f>
        <v/>
      </c>
      <c r="BM10" s="157">
        <f>O10+P10+Q10+R10+S10+T10+U10+V10+W10+X10+Y10+Z10</f>
        <v/>
      </c>
      <c r="BN10" s="157">
        <f>AA10+AB10+AC10+AD10+AE10+AF10+AG10+AH10+AI10+AJ10+AK10+AL10</f>
        <v/>
      </c>
      <c r="BO10" s="157">
        <f>AM10+AN10+AO10+AP10+AQ10+AR10+AS10+AT10+AU10+AV10+AW10+AX10</f>
        <v/>
      </c>
      <c r="BP10" s="157">
        <f>AY10+AZ10+BA10+BB10+BC10+BD10+BE10+BF10+BG10+BH10+BI10+BJ10</f>
        <v/>
      </c>
    </row>
    <row r="11" ht="15" customHeight="1" s="104">
      <c r="A11" s="215" t="inlineStr">
        <is>
          <t xml:space="preserve">    % of Revenue</t>
        </is>
      </c>
      <c r="C11" s="216">
        <f>IF(C6=0,0,C10/C6)</f>
        <v/>
      </c>
      <c r="D11" s="216">
        <f>IF(D6=0,0,D10/D6)</f>
        <v/>
      </c>
      <c r="E11" s="216">
        <f>IF(E6=0,0,E10/E6)</f>
        <v/>
      </c>
      <c r="F11" s="216">
        <f>IF(F6=0,0,F10/F6)</f>
        <v/>
      </c>
      <c r="G11" s="216">
        <f>IF(G6=0,0,G10/G6)</f>
        <v/>
      </c>
      <c r="H11" s="216">
        <f>IF(H6=0,0,H10/H6)</f>
        <v/>
      </c>
      <c r="I11" s="216">
        <f>IF(I6=0,0,I10/I6)</f>
        <v/>
      </c>
      <c r="J11" s="216">
        <f>IF(J6=0,0,J10/J6)</f>
        <v/>
      </c>
      <c r="K11" s="216">
        <f>IF(K6=0,0,K10/K6)</f>
        <v/>
      </c>
      <c r="L11" s="216">
        <f>IF(L6=0,0,L10/L6)</f>
        <v/>
      </c>
      <c r="M11" s="216">
        <f>IF(M6=0,0,M10/M6)</f>
        <v/>
      </c>
      <c r="N11" s="216">
        <f>IF(N6=0,0,N10/N6)</f>
        <v/>
      </c>
      <c r="O11" s="216">
        <f>IF(O6=0,0,O10/O6)</f>
        <v/>
      </c>
      <c r="P11" s="216">
        <f>IF(P6=0,0,P10/P6)</f>
        <v/>
      </c>
      <c r="Q11" s="216">
        <f>IF(Q6=0,0,Q10/Q6)</f>
        <v/>
      </c>
      <c r="R11" s="216">
        <f>IF(R6=0,0,R10/R6)</f>
        <v/>
      </c>
      <c r="S11" s="216">
        <f>IF(S6=0,0,S10/S6)</f>
        <v/>
      </c>
      <c r="T11" s="216">
        <f>IF(T6=0,0,T10/T6)</f>
        <v/>
      </c>
      <c r="U11" s="216">
        <f>IF(U6=0,0,U10/U6)</f>
        <v/>
      </c>
      <c r="V11" s="216">
        <f>IF(V6=0,0,V10/V6)</f>
        <v/>
      </c>
      <c r="W11" s="216">
        <f>IF(W6=0,0,W10/W6)</f>
        <v/>
      </c>
      <c r="X11" s="216">
        <f>IF(X6=0,0,X10/X6)</f>
        <v/>
      </c>
      <c r="Y11" s="216">
        <f>IF(Y6=0,0,Y10/Y6)</f>
        <v/>
      </c>
      <c r="Z11" s="216">
        <f>IF(Z6=0,0,Z10/Z6)</f>
        <v/>
      </c>
      <c r="AA11" s="216">
        <f>IF(AA6=0,0,AA10/AA6)</f>
        <v/>
      </c>
      <c r="AB11" s="216">
        <f>IF(AB6=0,0,AB10/AB6)</f>
        <v/>
      </c>
      <c r="AC11" s="216">
        <f>IF(AC6=0,0,AC10/AC6)</f>
        <v/>
      </c>
      <c r="AD11" s="216">
        <f>IF(AD6=0,0,AD10/AD6)</f>
        <v/>
      </c>
      <c r="AE11" s="216">
        <f>IF(AE6=0,0,AE10/AE6)</f>
        <v/>
      </c>
      <c r="AF11" s="216">
        <f>IF(AF6=0,0,AF10/AF6)</f>
        <v/>
      </c>
      <c r="AG11" s="216">
        <f>IF(AG6=0,0,AG10/AG6)</f>
        <v/>
      </c>
      <c r="AH11" s="216">
        <f>IF(AH6=0,0,AH10/AH6)</f>
        <v/>
      </c>
      <c r="AI11" s="216">
        <f>IF(AI6=0,0,AI10/AI6)</f>
        <v/>
      </c>
      <c r="AJ11" s="216">
        <f>IF(AJ6=0,0,AJ10/AJ6)</f>
        <v/>
      </c>
      <c r="AK11" s="216">
        <f>IF(AK6=0,0,AK10/AK6)</f>
        <v/>
      </c>
      <c r="AL11" s="216">
        <f>IF(AL6=0,0,AL10/AL6)</f>
        <v/>
      </c>
      <c r="AM11" s="216">
        <f>IF(AM6=0,0,AM10/AM6)</f>
        <v/>
      </c>
      <c r="AN11" s="216">
        <f>IF(AN6=0,0,AN10/AN6)</f>
        <v/>
      </c>
      <c r="AO11" s="216">
        <f>IF(AO6=0,0,AO10/AO6)</f>
        <v/>
      </c>
      <c r="AP11" s="216">
        <f>IF(AP6=0,0,AP10/AP6)</f>
        <v/>
      </c>
      <c r="AQ11" s="216">
        <f>IF(AQ6=0,0,AQ10/AQ6)</f>
        <v/>
      </c>
      <c r="AR11" s="216">
        <f>IF(AR6=0,0,AR10/AR6)</f>
        <v/>
      </c>
      <c r="AS11" s="216">
        <f>IF(AS6=0,0,AS10/AS6)</f>
        <v/>
      </c>
      <c r="AT11" s="216">
        <f>IF(AT6=0,0,AT10/AT6)</f>
        <v/>
      </c>
      <c r="AU11" s="216">
        <f>IF(AU6=0,0,AU10/AU6)</f>
        <v/>
      </c>
      <c r="AV11" s="216">
        <f>IF(AV6=0,0,AV10/AV6)</f>
        <v/>
      </c>
      <c r="AW11" s="216">
        <f>IF(AW6=0,0,AW10/AW6)</f>
        <v/>
      </c>
      <c r="AX11" s="216">
        <f>IF(AX6=0,0,AX10/AX6)</f>
        <v/>
      </c>
      <c r="AY11" s="216">
        <f>IF(AY6=0,0,AY10/AY6)</f>
        <v/>
      </c>
      <c r="AZ11" s="216">
        <f>IF(AZ6=0,0,AZ10/AZ6)</f>
        <v/>
      </c>
      <c r="BA11" s="216">
        <f>IF(BA6=0,0,BA10/BA6)</f>
        <v/>
      </c>
      <c r="BB11" s="216">
        <f>IF(BB6=0,0,BB10/BB6)</f>
        <v/>
      </c>
      <c r="BC11" s="216">
        <f>IF(BC6=0,0,BC10/BC6)</f>
        <v/>
      </c>
      <c r="BD11" s="216">
        <f>IF(BD6=0,0,BD10/BD6)</f>
        <v/>
      </c>
      <c r="BE11" s="216">
        <f>IF(BE6=0,0,BE10/BE6)</f>
        <v/>
      </c>
      <c r="BF11" s="216">
        <f>IF(BF6=0,0,BF10/BF6)</f>
        <v/>
      </c>
      <c r="BG11" s="216">
        <f>IF(BG6=0,0,BG10/BG6)</f>
        <v/>
      </c>
      <c r="BH11" s="216">
        <f>IF(BH6=0,0,BH10/BH6)</f>
        <v/>
      </c>
      <c r="BI11" s="216">
        <f>IF(BI6=0,0,BI10/BI6)</f>
        <v/>
      </c>
      <c r="BJ11" s="216">
        <f>IF(BJ6=0,0,BJ10/BJ6)</f>
        <v/>
      </c>
      <c r="BL11" s="217">
        <f>IF((C6+D6+E6+F6+G6+H6+I6+J6+K6+L6+M6+N6)=0,0,(C10+D10+E10+F10+G10+H10+I10+J10+K10+L10+M10+N10)/(C6+D6+E6+F6+G6+H6+I6+J6+K6+L6+M6+N6))</f>
        <v/>
      </c>
      <c r="BM11" s="217">
        <f>IF((O6+P6+Q6+R6+S6+T6+U6+V6+W6+X6+Y6+Z6)=0,0,(O10+P10+Q10+R10+S10+T10+U10+V10+W10+X10+Y10+Z10)/(O6+P6+Q6+R6+S6+T6+U6+V6+W6+X6+Y6+Z6))</f>
        <v/>
      </c>
      <c r="BN11" s="217">
        <f>IF((AA6+AB6+AC6+AD6+AE6+AF6+AG6+AH6+AI6+AJ6+AK6+AL6)=0,0,(AA10+AB10+AC10+AD10+AE10+AF10+AG10+AH10+AI10+AJ10+AK10+AL10)/(AA6+AB6+AC6+AD6+AE6+AF6+AG6+AH6+AI6+AJ6+AK6+AL6))</f>
        <v/>
      </c>
      <c r="BO11" s="217">
        <f>IF((AM6+AN6+AO6+AP6+AQ6+AR6+AS6+AT6+AU6+AV6+AW6+AX6)=0,0,(AM10+AN10+AO10+AP10+AQ10+AR10+AS10+AT10+AU10+AV10+AW10+AX10)/(AM6+AN6+AO6+AP6+AQ6+AR6+AS6+AT6+AU6+AV6+AW6+AX6))</f>
        <v/>
      </c>
      <c r="BP11" s="217">
        <f>IF((AY6+AZ6+BA6+BB6+BC6+BD6+BE6+BF6+BG6+BH6+BI6+BJ6)=0,0,(AY10+AZ10+BA10+BB10+BC10+BD10+BE10+BF10+BG10+BH10+BI10+BJ10)/(AY6+AZ6+BA6+BB6+BC6+BD6+BE6+BF6+BG6+BH6+BI6+BJ6))</f>
        <v/>
      </c>
    </row>
    <row r="12" ht="15" customHeight="1" s="104">
      <c r="A12" s="107" t="inlineStr">
        <is>
          <t>Occupancy &amp; Facilities</t>
        </is>
      </c>
      <c r="C12" s="156">
        <f>C6*(Assumptions!B28+Assumptions!B29*0)</f>
        <v/>
      </c>
      <c r="D12" s="156">
        <f>D6*(Assumptions!B28+Assumptions!B29*0)</f>
        <v/>
      </c>
      <c r="E12" s="156">
        <f>E6*(Assumptions!B28+Assumptions!B29*0)</f>
        <v/>
      </c>
      <c r="F12" s="156">
        <f>F6*(Assumptions!B28+Assumptions!B29*0)</f>
        <v/>
      </c>
      <c r="G12" s="156">
        <f>G6*(Assumptions!B28+Assumptions!B29*0)</f>
        <v/>
      </c>
      <c r="H12" s="156">
        <f>H6*(Assumptions!B28+Assumptions!B29*0)</f>
        <v/>
      </c>
      <c r="I12" s="156">
        <f>I6*(Assumptions!B28+Assumptions!B29*0)</f>
        <v/>
      </c>
      <c r="J12" s="156">
        <f>J6*(Assumptions!B28+Assumptions!B29*0)</f>
        <v/>
      </c>
      <c r="K12" s="156">
        <f>K6*(Assumptions!B28+Assumptions!B29*0)</f>
        <v/>
      </c>
      <c r="L12" s="156">
        <f>L6*(Assumptions!B28+Assumptions!B29*0)</f>
        <v/>
      </c>
      <c r="M12" s="156">
        <f>M6*(Assumptions!B28+Assumptions!B29*0)</f>
        <v/>
      </c>
      <c r="N12" s="156">
        <f>N6*(Assumptions!B28+Assumptions!B29*0)</f>
        <v/>
      </c>
      <c r="O12" s="156">
        <f>O6*(Assumptions!B28+Assumptions!B29*1)</f>
        <v/>
      </c>
      <c r="P12" s="156">
        <f>P6*(Assumptions!B28+Assumptions!B29*1)</f>
        <v/>
      </c>
      <c r="Q12" s="156">
        <f>Q6*(Assumptions!B28+Assumptions!B29*1)</f>
        <v/>
      </c>
      <c r="R12" s="156">
        <f>R6*(Assumptions!B28+Assumptions!B29*1)</f>
        <v/>
      </c>
      <c r="S12" s="156">
        <f>S6*(Assumptions!B28+Assumptions!B29*1)</f>
        <v/>
      </c>
      <c r="T12" s="156">
        <f>T6*(Assumptions!B28+Assumptions!B29*1)</f>
        <v/>
      </c>
      <c r="U12" s="156">
        <f>U6*(Assumptions!B28+Assumptions!B29*1)</f>
        <v/>
      </c>
      <c r="V12" s="156">
        <f>V6*(Assumptions!B28+Assumptions!B29*1)</f>
        <v/>
      </c>
      <c r="W12" s="156">
        <f>W6*(Assumptions!B28+Assumptions!B29*1)</f>
        <v/>
      </c>
      <c r="X12" s="156">
        <f>X6*(Assumptions!B28+Assumptions!B29*1)</f>
        <v/>
      </c>
      <c r="Y12" s="156">
        <f>Y6*(Assumptions!B28+Assumptions!B29*1)</f>
        <v/>
      </c>
      <c r="Z12" s="156">
        <f>Z6*(Assumptions!B28+Assumptions!B29*1)</f>
        <v/>
      </c>
      <c r="AA12" s="156">
        <f>AA6*(Assumptions!B28+Assumptions!B29*2)</f>
        <v/>
      </c>
      <c r="AB12" s="156">
        <f>AB6*(Assumptions!B28+Assumptions!B29*2)</f>
        <v/>
      </c>
      <c r="AC12" s="156">
        <f>AC6*(Assumptions!B28+Assumptions!B29*2)</f>
        <v/>
      </c>
      <c r="AD12" s="156">
        <f>AD6*(Assumptions!B28+Assumptions!B29*2)</f>
        <v/>
      </c>
      <c r="AE12" s="156">
        <f>AE6*(Assumptions!B28+Assumptions!B29*2)</f>
        <v/>
      </c>
      <c r="AF12" s="156">
        <f>AF6*(Assumptions!B28+Assumptions!B29*2)</f>
        <v/>
      </c>
      <c r="AG12" s="156">
        <f>AG6*(Assumptions!B28+Assumptions!B29*2)</f>
        <v/>
      </c>
      <c r="AH12" s="156">
        <f>AH6*(Assumptions!B28+Assumptions!B29*2)</f>
        <v/>
      </c>
      <c r="AI12" s="156">
        <f>AI6*(Assumptions!B28+Assumptions!B29*2)</f>
        <v/>
      </c>
      <c r="AJ12" s="156">
        <f>AJ6*(Assumptions!B28+Assumptions!B29*2)</f>
        <v/>
      </c>
      <c r="AK12" s="156">
        <f>AK6*(Assumptions!B28+Assumptions!B29*2)</f>
        <v/>
      </c>
      <c r="AL12" s="156">
        <f>AL6*(Assumptions!B28+Assumptions!B29*2)</f>
        <v/>
      </c>
      <c r="AM12" s="156">
        <f>AM6*(Assumptions!B28+Assumptions!B29*3)</f>
        <v/>
      </c>
      <c r="AN12" s="156">
        <f>AN6*(Assumptions!B28+Assumptions!B29*3)</f>
        <v/>
      </c>
      <c r="AO12" s="156">
        <f>AO6*(Assumptions!B28+Assumptions!B29*3)</f>
        <v/>
      </c>
      <c r="AP12" s="156">
        <f>AP6*(Assumptions!B28+Assumptions!B29*3)</f>
        <v/>
      </c>
      <c r="AQ12" s="156">
        <f>AQ6*(Assumptions!B28+Assumptions!B29*3)</f>
        <v/>
      </c>
      <c r="AR12" s="156">
        <f>AR6*(Assumptions!B28+Assumptions!B29*3)</f>
        <v/>
      </c>
      <c r="AS12" s="156">
        <f>AS6*(Assumptions!B28+Assumptions!B29*3)</f>
        <v/>
      </c>
      <c r="AT12" s="156">
        <f>AT6*(Assumptions!B28+Assumptions!B29*3)</f>
        <v/>
      </c>
      <c r="AU12" s="156">
        <f>AU6*(Assumptions!B28+Assumptions!B29*3)</f>
        <v/>
      </c>
      <c r="AV12" s="156">
        <f>AV6*(Assumptions!B28+Assumptions!B29*3)</f>
        <v/>
      </c>
      <c r="AW12" s="156">
        <f>AW6*(Assumptions!B28+Assumptions!B29*3)</f>
        <v/>
      </c>
      <c r="AX12" s="156">
        <f>AX6*(Assumptions!B28+Assumptions!B29*3)</f>
        <v/>
      </c>
      <c r="AY12" s="156">
        <f>AY6*(Assumptions!B28+Assumptions!B29*4)</f>
        <v/>
      </c>
      <c r="AZ12" s="156">
        <f>AZ6*(Assumptions!B28+Assumptions!B29*4)</f>
        <v/>
      </c>
      <c r="BA12" s="156">
        <f>BA6*(Assumptions!B28+Assumptions!B29*4)</f>
        <v/>
      </c>
      <c r="BB12" s="156">
        <f>BB6*(Assumptions!B28+Assumptions!B29*4)</f>
        <v/>
      </c>
      <c r="BC12" s="156">
        <f>BC6*(Assumptions!B28+Assumptions!B29*4)</f>
        <v/>
      </c>
      <c r="BD12" s="156">
        <f>BD6*(Assumptions!B28+Assumptions!B29*4)</f>
        <v/>
      </c>
      <c r="BE12" s="156">
        <f>BE6*(Assumptions!B28+Assumptions!B29*4)</f>
        <v/>
      </c>
      <c r="BF12" s="156">
        <f>BF6*(Assumptions!B28+Assumptions!B29*4)</f>
        <v/>
      </c>
      <c r="BG12" s="156">
        <f>BG6*(Assumptions!B28+Assumptions!B29*4)</f>
        <v/>
      </c>
      <c r="BH12" s="156">
        <f>BH6*(Assumptions!B28+Assumptions!B29*4)</f>
        <v/>
      </c>
      <c r="BI12" s="156">
        <f>BI6*(Assumptions!B28+Assumptions!B29*4)</f>
        <v/>
      </c>
      <c r="BJ12" s="156">
        <f>BJ6*(Assumptions!B28+Assumptions!B29*4)</f>
        <v/>
      </c>
      <c r="BL12" s="157">
        <f>C12+D12+E12+F12+G12+H12+I12+J12+K12+L12+M12+N12</f>
        <v/>
      </c>
      <c r="BM12" s="157">
        <f>O12+P12+Q12+R12+S12+T12+U12+V12+W12+X12+Y12+Z12</f>
        <v/>
      </c>
      <c r="BN12" s="157">
        <f>AA12+AB12+AC12+AD12+AE12+AF12+AG12+AH12+AI12+AJ12+AK12+AL12</f>
        <v/>
      </c>
      <c r="BO12" s="157">
        <f>AM12+AN12+AO12+AP12+AQ12+AR12+AS12+AT12+AU12+AV12+AW12+AX12</f>
        <v/>
      </c>
      <c r="BP12" s="157">
        <f>AY12+AZ12+BA12+BB12+BC12+BD12+BE12+BF12+BG12+BH12+BI12+BJ12</f>
        <v/>
      </c>
    </row>
    <row r="13" ht="15" customHeight="1" s="104">
      <c r="A13" s="215" t="inlineStr">
        <is>
          <t xml:space="preserve">    % of Revenue</t>
        </is>
      </c>
      <c r="C13" s="216">
        <f>IF(C6=0,0,C12/C6)</f>
        <v/>
      </c>
      <c r="D13" s="216">
        <f>IF(D6=0,0,D12/D6)</f>
        <v/>
      </c>
      <c r="E13" s="216">
        <f>IF(E6=0,0,E12/E6)</f>
        <v/>
      </c>
      <c r="F13" s="216">
        <f>IF(F6=0,0,F12/F6)</f>
        <v/>
      </c>
      <c r="G13" s="216">
        <f>IF(G6=0,0,G12/G6)</f>
        <v/>
      </c>
      <c r="H13" s="216">
        <f>IF(H6=0,0,H12/H6)</f>
        <v/>
      </c>
      <c r="I13" s="216">
        <f>IF(I6=0,0,I12/I6)</f>
        <v/>
      </c>
      <c r="J13" s="216">
        <f>IF(J6=0,0,J12/J6)</f>
        <v/>
      </c>
      <c r="K13" s="216">
        <f>IF(K6=0,0,K12/K6)</f>
        <v/>
      </c>
      <c r="L13" s="216">
        <f>IF(L6=0,0,L12/L6)</f>
        <v/>
      </c>
      <c r="M13" s="216">
        <f>IF(M6=0,0,M12/M6)</f>
        <v/>
      </c>
      <c r="N13" s="216">
        <f>IF(N6=0,0,N12/N6)</f>
        <v/>
      </c>
      <c r="O13" s="216">
        <f>IF(O6=0,0,O12/O6)</f>
        <v/>
      </c>
      <c r="P13" s="216">
        <f>IF(P6=0,0,P12/P6)</f>
        <v/>
      </c>
      <c r="Q13" s="216">
        <f>IF(Q6=0,0,Q12/Q6)</f>
        <v/>
      </c>
      <c r="R13" s="216">
        <f>IF(R6=0,0,R12/R6)</f>
        <v/>
      </c>
      <c r="S13" s="216">
        <f>IF(S6=0,0,S12/S6)</f>
        <v/>
      </c>
      <c r="T13" s="216">
        <f>IF(T6=0,0,T12/T6)</f>
        <v/>
      </c>
      <c r="U13" s="216">
        <f>IF(U6=0,0,U12/U6)</f>
        <v/>
      </c>
      <c r="V13" s="216">
        <f>IF(V6=0,0,V12/V6)</f>
        <v/>
      </c>
      <c r="W13" s="216">
        <f>IF(W6=0,0,W12/W6)</f>
        <v/>
      </c>
      <c r="X13" s="216">
        <f>IF(X6=0,0,X12/X6)</f>
        <v/>
      </c>
      <c r="Y13" s="216">
        <f>IF(Y6=0,0,Y12/Y6)</f>
        <v/>
      </c>
      <c r="Z13" s="216">
        <f>IF(Z6=0,0,Z12/Z6)</f>
        <v/>
      </c>
      <c r="AA13" s="216">
        <f>IF(AA6=0,0,AA12/AA6)</f>
        <v/>
      </c>
      <c r="AB13" s="216">
        <f>IF(AB6=0,0,AB12/AB6)</f>
        <v/>
      </c>
      <c r="AC13" s="216">
        <f>IF(AC6=0,0,AC12/AC6)</f>
        <v/>
      </c>
      <c r="AD13" s="216">
        <f>IF(AD6=0,0,AD12/AD6)</f>
        <v/>
      </c>
      <c r="AE13" s="216">
        <f>IF(AE6=0,0,AE12/AE6)</f>
        <v/>
      </c>
      <c r="AF13" s="216">
        <f>IF(AF6=0,0,AF12/AF6)</f>
        <v/>
      </c>
      <c r="AG13" s="216">
        <f>IF(AG6=0,0,AG12/AG6)</f>
        <v/>
      </c>
      <c r="AH13" s="216">
        <f>IF(AH6=0,0,AH12/AH6)</f>
        <v/>
      </c>
      <c r="AI13" s="216">
        <f>IF(AI6=0,0,AI12/AI6)</f>
        <v/>
      </c>
      <c r="AJ13" s="216">
        <f>IF(AJ6=0,0,AJ12/AJ6)</f>
        <v/>
      </c>
      <c r="AK13" s="216">
        <f>IF(AK6=0,0,AK12/AK6)</f>
        <v/>
      </c>
      <c r="AL13" s="216">
        <f>IF(AL6=0,0,AL12/AL6)</f>
        <v/>
      </c>
      <c r="AM13" s="216">
        <f>IF(AM6=0,0,AM12/AM6)</f>
        <v/>
      </c>
      <c r="AN13" s="216">
        <f>IF(AN6=0,0,AN12/AN6)</f>
        <v/>
      </c>
      <c r="AO13" s="216">
        <f>IF(AO6=0,0,AO12/AO6)</f>
        <v/>
      </c>
      <c r="AP13" s="216">
        <f>IF(AP6=0,0,AP12/AP6)</f>
        <v/>
      </c>
      <c r="AQ13" s="216">
        <f>IF(AQ6=0,0,AQ12/AQ6)</f>
        <v/>
      </c>
      <c r="AR13" s="216">
        <f>IF(AR6=0,0,AR12/AR6)</f>
        <v/>
      </c>
      <c r="AS13" s="216">
        <f>IF(AS6=0,0,AS12/AS6)</f>
        <v/>
      </c>
      <c r="AT13" s="216">
        <f>IF(AT6=0,0,AT12/AT6)</f>
        <v/>
      </c>
      <c r="AU13" s="216">
        <f>IF(AU6=0,0,AU12/AU6)</f>
        <v/>
      </c>
      <c r="AV13" s="216">
        <f>IF(AV6=0,0,AV12/AV6)</f>
        <v/>
      </c>
      <c r="AW13" s="216">
        <f>IF(AW6=0,0,AW12/AW6)</f>
        <v/>
      </c>
      <c r="AX13" s="216">
        <f>IF(AX6=0,0,AX12/AX6)</f>
        <v/>
      </c>
      <c r="AY13" s="216">
        <f>IF(AY6=0,0,AY12/AY6)</f>
        <v/>
      </c>
      <c r="AZ13" s="216">
        <f>IF(AZ6=0,0,AZ12/AZ6)</f>
        <v/>
      </c>
      <c r="BA13" s="216">
        <f>IF(BA6=0,0,BA12/BA6)</f>
        <v/>
      </c>
      <c r="BB13" s="216">
        <f>IF(BB6=0,0,BB12/BB6)</f>
        <v/>
      </c>
      <c r="BC13" s="216">
        <f>IF(BC6=0,0,BC12/BC6)</f>
        <v/>
      </c>
      <c r="BD13" s="216">
        <f>IF(BD6=0,0,BD12/BD6)</f>
        <v/>
      </c>
      <c r="BE13" s="216">
        <f>IF(BE6=0,0,BE12/BE6)</f>
        <v/>
      </c>
      <c r="BF13" s="216">
        <f>IF(BF6=0,0,BF12/BF6)</f>
        <v/>
      </c>
      <c r="BG13" s="216">
        <f>IF(BG6=0,0,BG12/BG6)</f>
        <v/>
      </c>
      <c r="BH13" s="216">
        <f>IF(BH6=0,0,BH12/BH6)</f>
        <v/>
      </c>
      <c r="BI13" s="216">
        <f>IF(BI6=0,0,BI12/BI6)</f>
        <v/>
      </c>
      <c r="BJ13" s="216">
        <f>IF(BJ6=0,0,BJ12/BJ6)</f>
        <v/>
      </c>
      <c r="BL13" s="217">
        <f>IF((C6+D6+E6+F6+G6+H6+I6+J6+K6+L6+M6+N6)=0,0,(C12+D12+E12+F12+G12+H12+I12+J12+K12+L12+M12+N12)/(C6+D6+E6+F6+G6+H6+I6+J6+K6+L6+M6+N6))</f>
        <v/>
      </c>
      <c r="BM13" s="217">
        <f>IF((O6+P6+Q6+R6+S6+T6+U6+V6+W6+X6+Y6+Z6)=0,0,(O12+P12+Q12+R12+S12+T12+U12+V12+W12+X12+Y12+Z12)/(O6+P6+Q6+R6+S6+T6+U6+V6+W6+X6+Y6+Z6))</f>
        <v/>
      </c>
      <c r="BN13" s="217">
        <f>IF((AA6+AB6+AC6+AD6+AE6+AF6+AG6+AH6+AI6+AJ6+AK6+AL6)=0,0,(AA12+AB12+AC12+AD12+AE12+AF12+AG12+AH12+AI12+AJ12+AK12+AL12)/(AA6+AB6+AC6+AD6+AE6+AF6+AG6+AH6+AI6+AJ6+AK6+AL6))</f>
        <v/>
      </c>
      <c r="BO13" s="217">
        <f>IF((AM6+AN6+AO6+AP6+AQ6+AR6+AS6+AT6+AU6+AV6+AW6+AX6)=0,0,(AM12+AN12+AO12+AP12+AQ12+AR12+AS12+AT12+AU12+AV12+AW12+AX12)/(AM6+AN6+AO6+AP6+AQ6+AR6+AS6+AT6+AU6+AV6+AW6+AX6))</f>
        <v/>
      </c>
      <c r="BP13" s="217">
        <f>IF((AY6+AZ6+BA6+BB6+BC6+BD6+BE6+BF6+BG6+BH6+BI6+BJ6)=0,0,(AY12+AZ12+BA12+BB12+BC12+BD12+BE12+BF12+BG12+BH12+BI12+BJ12)/(AY6+AZ6+BA6+BB6+BC6+BD6+BE6+BF6+BG6+BH6+BI6+BJ6))</f>
        <v/>
      </c>
    </row>
    <row r="14" ht="15" customHeight="1" s="104">
      <c r="A14" s="107" t="inlineStr">
        <is>
          <t>Technology &amp; Software</t>
        </is>
      </c>
      <c r="C14" s="156">
        <f>C6*(Assumptions!B30+Assumptions!B31*0)</f>
        <v/>
      </c>
      <c r="D14" s="156">
        <f>D6*(Assumptions!B30+Assumptions!B31*0)</f>
        <v/>
      </c>
      <c r="E14" s="156">
        <f>E6*(Assumptions!B30+Assumptions!B31*0)</f>
        <v/>
      </c>
      <c r="F14" s="156">
        <f>F6*(Assumptions!B30+Assumptions!B31*0)</f>
        <v/>
      </c>
      <c r="G14" s="156">
        <f>G6*(Assumptions!B30+Assumptions!B31*0)</f>
        <v/>
      </c>
      <c r="H14" s="156">
        <f>H6*(Assumptions!B30+Assumptions!B31*0)</f>
        <v/>
      </c>
      <c r="I14" s="156">
        <f>I6*(Assumptions!B30+Assumptions!B31*0)</f>
        <v/>
      </c>
      <c r="J14" s="156">
        <f>J6*(Assumptions!B30+Assumptions!B31*0)</f>
        <v/>
      </c>
      <c r="K14" s="156">
        <f>K6*(Assumptions!B30+Assumptions!B31*0)</f>
        <v/>
      </c>
      <c r="L14" s="156">
        <f>L6*(Assumptions!B30+Assumptions!B31*0)</f>
        <v/>
      </c>
      <c r="M14" s="156">
        <f>M6*(Assumptions!B30+Assumptions!B31*0)</f>
        <v/>
      </c>
      <c r="N14" s="156">
        <f>N6*(Assumptions!B30+Assumptions!B31*0)</f>
        <v/>
      </c>
      <c r="O14" s="156">
        <f>O6*(Assumptions!B30+Assumptions!B31*1)</f>
        <v/>
      </c>
      <c r="P14" s="156">
        <f>P6*(Assumptions!B30+Assumptions!B31*1)</f>
        <v/>
      </c>
      <c r="Q14" s="156">
        <f>Q6*(Assumptions!B30+Assumptions!B31*1)</f>
        <v/>
      </c>
      <c r="R14" s="156">
        <f>R6*(Assumptions!B30+Assumptions!B31*1)</f>
        <v/>
      </c>
      <c r="S14" s="156">
        <f>S6*(Assumptions!B30+Assumptions!B31*1)</f>
        <v/>
      </c>
      <c r="T14" s="156">
        <f>T6*(Assumptions!B30+Assumptions!B31*1)</f>
        <v/>
      </c>
      <c r="U14" s="156">
        <f>U6*(Assumptions!B30+Assumptions!B31*1)</f>
        <v/>
      </c>
      <c r="V14" s="156">
        <f>V6*(Assumptions!B30+Assumptions!B31*1)</f>
        <v/>
      </c>
      <c r="W14" s="156">
        <f>W6*(Assumptions!B30+Assumptions!B31*1)</f>
        <v/>
      </c>
      <c r="X14" s="156">
        <f>X6*(Assumptions!B30+Assumptions!B31*1)</f>
        <v/>
      </c>
      <c r="Y14" s="156">
        <f>Y6*(Assumptions!B30+Assumptions!B31*1)</f>
        <v/>
      </c>
      <c r="Z14" s="156">
        <f>Z6*(Assumptions!B30+Assumptions!B31*1)</f>
        <v/>
      </c>
      <c r="AA14" s="156">
        <f>AA6*(Assumptions!B30+Assumptions!B31*2)</f>
        <v/>
      </c>
      <c r="AB14" s="156">
        <f>AB6*(Assumptions!B30+Assumptions!B31*2)</f>
        <v/>
      </c>
      <c r="AC14" s="156">
        <f>AC6*(Assumptions!B30+Assumptions!B31*2)</f>
        <v/>
      </c>
      <c r="AD14" s="156">
        <f>AD6*(Assumptions!B30+Assumptions!B31*2)</f>
        <v/>
      </c>
      <c r="AE14" s="156">
        <f>AE6*(Assumptions!B30+Assumptions!B31*2)</f>
        <v/>
      </c>
      <c r="AF14" s="156">
        <f>AF6*(Assumptions!B30+Assumptions!B31*2)</f>
        <v/>
      </c>
      <c r="AG14" s="156">
        <f>AG6*(Assumptions!B30+Assumptions!B31*2)</f>
        <v/>
      </c>
      <c r="AH14" s="156">
        <f>AH6*(Assumptions!B30+Assumptions!B31*2)</f>
        <v/>
      </c>
      <c r="AI14" s="156">
        <f>AI6*(Assumptions!B30+Assumptions!B31*2)</f>
        <v/>
      </c>
      <c r="AJ14" s="156">
        <f>AJ6*(Assumptions!B30+Assumptions!B31*2)</f>
        <v/>
      </c>
      <c r="AK14" s="156">
        <f>AK6*(Assumptions!B30+Assumptions!B31*2)</f>
        <v/>
      </c>
      <c r="AL14" s="156">
        <f>AL6*(Assumptions!B30+Assumptions!B31*2)</f>
        <v/>
      </c>
      <c r="AM14" s="156">
        <f>AM6*(Assumptions!B30+Assumptions!B31*3)</f>
        <v/>
      </c>
      <c r="AN14" s="156">
        <f>AN6*(Assumptions!B30+Assumptions!B31*3)</f>
        <v/>
      </c>
      <c r="AO14" s="156">
        <f>AO6*(Assumptions!B30+Assumptions!B31*3)</f>
        <v/>
      </c>
      <c r="AP14" s="156">
        <f>AP6*(Assumptions!B30+Assumptions!B31*3)</f>
        <v/>
      </c>
      <c r="AQ14" s="156">
        <f>AQ6*(Assumptions!B30+Assumptions!B31*3)</f>
        <v/>
      </c>
      <c r="AR14" s="156">
        <f>AR6*(Assumptions!B30+Assumptions!B31*3)</f>
        <v/>
      </c>
      <c r="AS14" s="156">
        <f>AS6*(Assumptions!B30+Assumptions!B31*3)</f>
        <v/>
      </c>
      <c r="AT14" s="156">
        <f>AT6*(Assumptions!B30+Assumptions!B31*3)</f>
        <v/>
      </c>
      <c r="AU14" s="156">
        <f>AU6*(Assumptions!B30+Assumptions!B31*3)</f>
        <v/>
      </c>
      <c r="AV14" s="156">
        <f>AV6*(Assumptions!B30+Assumptions!B31*3)</f>
        <v/>
      </c>
      <c r="AW14" s="156">
        <f>AW6*(Assumptions!B30+Assumptions!B31*3)</f>
        <v/>
      </c>
      <c r="AX14" s="156">
        <f>AX6*(Assumptions!B30+Assumptions!B31*3)</f>
        <v/>
      </c>
      <c r="AY14" s="156">
        <f>AY6*(Assumptions!B30+Assumptions!B31*4)</f>
        <v/>
      </c>
      <c r="AZ14" s="156">
        <f>AZ6*(Assumptions!B30+Assumptions!B31*4)</f>
        <v/>
      </c>
      <c r="BA14" s="156">
        <f>BA6*(Assumptions!B30+Assumptions!B31*4)</f>
        <v/>
      </c>
      <c r="BB14" s="156">
        <f>BB6*(Assumptions!B30+Assumptions!B31*4)</f>
        <v/>
      </c>
      <c r="BC14" s="156">
        <f>BC6*(Assumptions!B30+Assumptions!B31*4)</f>
        <v/>
      </c>
      <c r="BD14" s="156">
        <f>BD6*(Assumptions!B30+Assumptions!B31*4)</f>
        <v/>
      </c>
      <c r="BE14" s="156">
        <f>BE6*(Assumptions!B30+Assumptions!B31*4)</f>
        <v/>
      </c>
      <c r="BF14" s="156">
        <f>BF6*(Assumptions!B30+Assumptions!B31*4)</f>
        <v/>
      </c>
      <c r="BG14" s="156">
        <f>BG6*(Assumptions!B30+Assumptions!B31*4)</f>
        <v/>
      </c>
      <c r="BH14" s="156">
        <f>BH6*(Assumptions!B30+Assumptions!B31*4)</f>
        <v/>
      </c>
      <c r="BI14" s="156">
        <f>BI6*(Assumptions!B30+Assumptions!B31*4)</f>
        <v/>
      </c>
      <c r="BJ14" s="156">
        <f>BJ6*(Assumptions!B30+Assumptions!B31*4)</f>
        <v/>
      </c>
      <c r="BL14" s="157">
        <f>C14+D14+E14+F14+G14+H14+I14+J14+K14+L14+M14+N14</f>
        <v/>
      </c>
      <c r="BM14" s="157">
        <f>O14+P14+Q14+R14+S14+T14+U14+V14+W14+X14+Y14+Z14</f>
        <v/>
      </c>
      <c r="BN14" s="157">
        <f>AA14+AB14+AC14+AD14+AE14+AF14+AG14+AH14+AI14+AJ14+AK14+AL14</f>
        <v/>
      </c>
      <c r="BO14" s="157">
        <f>AM14+AN14+AO14+AP14+AQ14+AR14+AS14+AT14+AU14+AV14+AW14+AX14</f>
        <v/>
      </c>
      <c r="BP14" s="157">
        <f>AY14+AZ14+BA14+BB14+BC14+BD14+BE14+BF14+BG14+BH14+BI14+BJ14</f>
        <v/>
      </c>
    </row>
    <row r="15" ht="15" customHeight="1" s="104">
      <c r="A15" s="215" t="inlineStr">
        <is>
          <t xml:space="preserve">    % of Revenue</t>
        </is>
      </c>
      <c r="C15" s="216">
        <f>IF(C6=0,0,C14/C6)</f>
        <v/>
      </c>
      <c r="D15" s="216">
        <f>IF(D6=0,0,D14/D6)</f>
        <v/>
      </c>
      <c r="E15" s="216">
        <f>IF(E6=0,0,E14/E6)</f>
        <v/>
      </c>
      <c r="F15" s="216">
        <f>IF(F6=0,0,F14/F6)</f>
        <v/>
      </c>
      <c r="G15" s="216">
        <f>IF(G6=0,0,G14/G6)</f>
        <v/>
      </c>
      <c r="H15" s="216">
        <f>IF(H6=0,0,H14/H6)</f>
        <v/>
      </c>
      <c r="I15" s="216">
        <f>IF(I6=0,0,I14/I6)</f>
        <v/>
      </c>
      <c r="J15" s="216">
        <f>IF(J6=0,0,J14/J6)</f>
        <v/>
      </c>
      <c r="K15" s="216">
        <f>IF(K6=0,0,K14/K6)</f>
        <v/>
      </c>
      <c r="L15" s="216">
        <f>IF(L6=0,0,L14/L6)</f>
        <v/>
      </c>
      <c r="M15" s="216">
        <f>IF(M6=0,0,M14/M6)</f>
        <v/>
      </c>
      <c r="N15" s="216">
        <f>IF(N6=0,0,N14/N6)</f>
        <v/>
      </c>
      <c r="O15" s="216">
        <f>IF(O6=0,0,O14/O6)</f>
        <v/>
      </c>
      <c r="P15" s="216">
        <f>IF(P6=0,0,P14/P6)</f>
        <v/>
      </c>
      <c r="Q15" s="216">
        <f>IF(Q6=0,0,Q14/Q6)</f>
        <v/>
      </c>
      <c r="R15" s="216">
        <f>IF(R6=0,0,R14/R6)</f>
        <v/>
      </c>
      <c r="S15" s="216">
        <f>IF(S6=0,0,S14/S6)</f>
        <v/>
      </c>
      <c r="T15" s="216">
        <f>IF(T6=0,0,T14/T6)</f>
        <v/>
      </c>
      <c r="U15" s="216">
        <f>IF(U6=0,0,U14/U6)</f>
        <v/>
      </c>
      <c r="V15" s="216">
        <f>IF(V6=0,0,V14/V6)</f>
        <v/>
      </c>
      <c r="W15" s="216">
        <f>IF(W6=0,0,W14/W6)</f>
        <v/>
      </c>
      <c r="X15" s="216">
        <f>IF(X6=0,0,X14/X6)</f>
        <v/>
      </c>
      <c r="Y15" s="216">
        <f>IF(Y6=0,0,Y14/Y6)</f>
        <v/>
      </c>
      <c r="Z15" s="216">
        <f>IF(Z6=0,0,Z14/Z6)</f>
        <v/>
      </c>
      <c r="AA15" s="216">
        <f>IF(AA6=0,0,AA14/AA6)</f>
        <v/>
      </c>
      <c r="AB15" s="216">
        <f>IF(AB6=0,0,AB14/AB6)</f>
        <v/>
      </c>
      <c r="AC15" s="216">
        <f>IF(AC6=0,0,AC14/AC6)</f>
        <v/>
      </c>
      <c r="AD15" s="216">
        <f>IF(AD6=0,0,AD14/AD6)</f>
        <v/>
      </c>
      <c r="AE15" s="216">
        <f>IF(AE6=0,0,AE14/AE6)</f>
        <v/>
      </c>
      <c r="AF15" s="216">
        <f>IF(AF6=0,0,AF14/AF6)</f>
        <v/>
      </c>
      <c r="AG15" s="216">
        <f>IF(AG6=0,0,AG14/AG6)</f>
        <v/>
      </c>
      <c r="AH15" s="216">
        <f>IF(AH6=0,0,AH14/AH6)</f>
        <v/>
      </c>
      <c r="AI15" s="216">
        <f>IF(AI6=0,0,AI14/AI6)</f>
        <v/>
      </c>
      <c r="AJ15" s="216">
        <f>IF(AJ6=0,0,AJ14/AJ6)</f>
        <v/>
      </c>
      <c r="AK15" s="216">
        <f>IF(AK6=0,0,AK14/AK6)</f>
        <v/>
      </c>
      <c r="AL15" s="216">
        <f>IF(AL6=0,0,AL14/AL6)</f>
        <v/>
      </c>
      <c r="AM15" s="216">
        <f>IF(AM6=0,0,AM14/AM6)</f>
        <v/>
      </c>
      <c r="AN15" s="216">
        <f>IF(AN6=0,0,AN14/AN6)</f>
        <v/>
      </c>
      <c r="AO15" s="216">
        <f>IF(AO6=0,0,AO14/AO6)</f>
        <v/>
      </c>
      <c r="AP15" s="216">
        <f>IF(AP6=0,0,AP14/AP6)</f>
        <v/>
      </c>
      <c r="AQ15" s="216">
        <f>IF(AQ6=0,0,AQ14/AQ6)</f>
        <v/>
      </c>
      <c r="AR15" s="216">
        <f>IF(AR6=0,0,AR14/AR6)</f>
        <v/>
      </c>
      <c r="AS15" s="216">
        <f>IF(AS6=0,0,AS14/AS6)</f>
        <v/>
      </c>
      <c r="AT15" s="216">
        <f>IF(AT6=0,0,AT14/AT6)</f>
        <v/>
      </c>
      <c r="AU15" s="216">
        <f>IF(AU6=0,0,AU14/AU6)</f>
        <v/>
      </c>
      <c r="AV15" s="216">
        <f>IF(AV6=0,0,AV14/AV6)</f>
        <v/>
      </c>
      <c r="AW15" s="216">
        <f>IF(AW6=0,0,AW14/AW6)</f>
        <v/>
      </c>
      <c r="AX15" s="216">
        <f>IF(AX6=0,0,AX14/AX6)</f>
        <v/>
      </c>
      <c r="AY15" s="216">
        <f>IF(AY6=0,0,AY14/AY6)</f>
        <v/>
      </c>
      <c r="AZ15" s="216">
        <f>IF(AZ6=0,0,AZ14/AZ6)</f>
        <v/>
      </c>
      <c r="BA15" s="216">
        <f>IF(BA6=0,0,BA14/BA6)</f>
        <v/>
      </c>
      <c r="BB15" s="216">
        <f>IF(BB6=0,0,BB14/BB6)</f>
        <v/>
      </c>
      <c r="BC15" s="216">
        <f>IF(BC6=0,0,BC14/BC6)</f>
        <v/>
      </c>
      <c r="BD15" s="216">
        <f>IF(BD6=0,0,BD14/BD6)</f>
        <v/>
      </c>
      <c r="BE15" s="216">
        <f>IF(BE6=0,0,BE14/BE6)</f>
        <v/>
      </c>
      <c r="BF15" s="216">
        <f>IF(BF6=0,0,BF14/BF6)</f>
        <v/>
      </c>
      <c r="BG15" s="216">
        <f>IF(BG6=0,0,BG14/BG6)</f>
        <v/>
      </c>
      <c r="BH15" s="216">
        <f>IF(BH6=0,0,BH14/BH6)</f>
        <v/>
      </c>
      <c r="BI15" s="216">
        <f>IF(BI6=0,0,BI14/BI6)</f>
        <v/>
      </c>
      <c r="BJ15" s="216">
        <f>IF(BJ6=0,0,BJ14/BJ6)</f>
        <v/>
      </c>
      <c r="BL15" s="217">
        <f>IF((C6+D6+E6+F6+G6+H6+I6+J6+K6+L6+M6+N6)=0,0,(C14+D14+E14+F14+G14+H14+I14+J14+K14+L14+M14+N14)/(C6+D6+E6+F6+G6+H6+I6+J6+K6+L6+M6+N6))</f>
        <v/>
      </c>
      <c r="BM15" s="217">
        <f>IF((O6+P6+Q6+R6+S6+T6+U6+V6+W6+X6+Y6+Z6)=0,0,(O14+P14+Q14+R14+S14+T14+U14+V14+W14+X14+Y14+Z14)/(O6+P6+Q6+R6+S6+T6+U6+V6+W6+X6+Y6+Z6))</f>
        <v/>
      </c>
      <c r="BN15" s="217">
        <f>IF((AA6+AB6+AC6+AD6+AE6+AF6+AG6+AH6+AI6+AJ6+AK6+AL6)=0,0,(AA14+AB14+AC14+AD14+AE14+AF14+AG14+AH14+AI14+AJ14+AK14+AL14)/(AA6+AB6+AC6+AD6+AE6+AF6+AG6+AH6+AI6+AJ6+AK6+AL6))</f>
        <v/>
      </c>
      <c r="BO15" s="217">
        <f>IF((AM6+AN6+AO6+AP6+AQ6+AR6+AS6+AT6+AU6+AV6+AW6+AX6)=0,0,(AM14+AN14+AO14+AP14+AQ14+AR14+AS14+AT14+AU14+AV14+AW14+AX14)/(AM6+AN6+AO6+AP6+AQ6+AR6+AS6+AT6+AU6+AV6+AW6+AX6))</f>
        <v/>
      </c>
      <c r="BP15" s="217">
        <f>IF((AY6+AZ6+BA6+BB6+BC6+BD6+BE6+BF6+BG6+BH6+BI6+BJ6)=0,0,(AY14+AZ14+BA14+BB14+BC14+BD14+BE14+BF14+BG14+BH14+BI14+BJ14)/(AY6+AZ6+BA6+BB6+BC6+BD6+BE6+BF6+BG6+BH6+BI6+BJ6))</f>
        <v/>
      </c>
    </row>
    <row r="16" ht="15" customHeight="1" s="104">
      <c r="A16" s="107" t="inlineStr">
        <is>
          <t>Insurance</t>
        </is>
      </c>
      <c r="C16" s="156">
        <f>C6*(Assumptions!B32+Assumptions!B33*0)</f>
        <v/>
      </c>
      <c r="D16" s="156">
        <f>D6*(Assumptions!B32+Assumptions!B33*0)</f>
        <v/>
      </c>
      <c r="E16" s="156">
        <f>E6*(Assumptions!B32+Assumptions!B33*0)</f>
        <v/>
      </c>
      <c r="F16" s="156">
        <f>F6*(Assumptions!B32+Assumptions!B33*0)</f>
        <v/>
      </c>
      <c r="G16" s="156">
        <f>G6*(Assumptions!B32+Assumptions!B33*0)</f>
        <v/>
      </c>
      <c r="H16" s="156">
        <f>H6*(Assumptions!B32+Assumptions!B33*0)</f>
        <v/>
      </c>
      <c r="I16" s="156">
        <f>I6*(Assumptions!B32+Assumptions!B33*0)</f>
        <v/>
      </c>
      <c r="J16" s="156">
        <f>J6*(Assumptions!B32+Assumptions!B33*0)</f>
        <v/>
      </c>
      <c r="K16" s="156">
        <f>K6*(Assumptions!B32+Assumptions!B33*0)</f>
        <v/>
      </c>
      <c r="L16" s="156">
        <f>L6*(Assumptions!B32+Assumptions!B33*0)</f>
        <v/>
      </c>
      <c r="M16" s="156">
        <f>M6*(Assumptions!B32+Assumptions!B33*0)</f>
        <v/>
      </c>
      <c r="N16" s="156">
        <f>N6*(Assumptions!B32+Assumptions!B33*0)</f>
        <v/>
      </c>
      <c r="O16" s="156">
        <f>O6*(Assumptions!B32+Assumptions!B33*1)</f>
        <v/>
      </c>
      <c r="P16" s="156">
        <f>P6*(Assumptions!B32+Assumptions!B33*1)</f>
        <v/>
      </c>
      <c r="Q16" s="156">
        <f>Q6*(Assumptions!B32+Assumptions!B33*1)</f>
        <v/>
      </c>
      <c r="R16" s="156">
        <f>R6*(Assumptions!B32+Assumptions!B33*1)</f>
        <v/>
      </c>
      <c r="S16" s="156">
        <f>S6*(Assumptions!B32+Assumptions!B33*1)</f>
        <v/>
      </c>
      <c r="T16" s="156">
        <f>T6*(Assumptions!B32+Assumptions!B33*1)</f>
        <v/>
      </c>
      <c r="U16" s="156">
        <f>U6*(Assumptions!B32+Assumptions!B33*1)</f>
        <v/>
      </c>
      <c r="V16" s="156">
        <f>V6*(Assumptions!B32+Assumptions!B33*1)</f>
        <v/>
      </c>
      <c r="W16" s="156">
        <f>W6*(Assumptions!B32+Assumptions!B33*1)</f>
        <v/>
      </c>
      <c r="X16" s="156">
        <f>X6*(Assumptions!B32+Assumptions!B33*1)</f>
        <v/>
      </c>
      <c r="Y16" s="156">
        <f>Y6*(Assumptions!B32+Assumptions!B33*1)</f>
        <v/>
      </c>
      <c r="Z16" s="156">
        <f>Z6*(Assumptions!B32+Assumptions!B33*1)</f>
        <v/>
      </c>
      <c r="AA16" s="156">
        <f>AA6*(Assumptions!B32+Assumptions!B33*2)</f>
        <v/>
      </c>
      <c r="AB16" s="156">
        <f>AB6*(Assumptions!B32+Assumptions!B33*2)</f>
        <v/>
      </c>
      <c r="AC16" s="156">
        <f>AC6*(Assumptions!B32+Assumptions!B33*2)</f>
        <v/>
      </c>
      <c r="AD16" s="156">
        <f>AD6*(Assumptions!B32+Assumptions!B33*2)</f>
        <v/>
      </c>
      <c r="AE16" s="156">
        <f>AE6*(Assumptions!B32+Assumptions!B33*2)</f>
        <v/>
      </c>
      <c r="AF16" s="156">
        <f>AF6*(Assumptions!B32+Assumptions!B33*2)</f>
        <v/>
      </c>
      <c r="AG16" s="156">
        <f>AG6*(Assumptions!B32+Assumptions!B33*2)</f>
        <v/>
      </c>
      <c r="AH16" s="156">
        <f>AH6*(Assumptions!B32+Assumptions!B33*2)</f>
        <v/>
      </c>
      <c r="AI16" s="156">
        <f>AI6*(Assumptions!B32+Assumptions!B33*2)</f>
        <v/>
      </c>
      <c r="AJ16" s="156">
        <f>AJ6*(Assumptions!B32+Assumptions!B33*2)</f>
        <v/>
      </c>
      <c r="AK16" s="156">
        <f>AK6*(Assumptions!B32+Assumptions!B33*2)</f>
        <v/>
      </c>
      <c r="AL16" s="156">
        <f>AL6*(Assumptions!B32+Assumptions!B33*2)</f>
        <v/>
      </c>
      <c r="AM16" s="156">
        <f>AM6*(Assumptions!B32+Assumptions!B33*3)</f>
        <v/>
      </c>
      <c r="AN16" s="156">
        <f>AN6*(Assumptions!B32+Assumptions!B33*3)</f>
        <v/>
      </c>
      <c r="AO16" s="156">
        <f>AO6*(Assumptions!B32+Assumptions!B33*3)</f>
        <v/>
      </c>
      <c r="AP16" s="156">
        <f>AP6*(Assumptions!B32+Assumptions!B33*3)</f>
        <v/>
      </c>
      <c r="AQ16" s="156">
        <f>AQ6*(Assumptions!B32+Assumptions!B33*3)</f>
        <v/>
      </c>
      <c r="AR16" s="156">
        <f>AR6*(Assumptions!B32+Assumptions!B33*3)</f>
        <v/>
      </c>
      <c r="AS16" s="156">
        <f>AS6*(Assumptions!B32+Assumptions!B33*3)</f>
        <v/>
      </c>
      <c r="AT16" s="156">
        <f>AT6*(Assumptions!B32+Assumptions!B33*3)</f>
        <v/>
      </c>
      <c r="AU16" s="156">
        <f>AU6*(Assumptions!B32+Assumptions!B33*3)</f>
        <v/>
      </c>
      <c r="AV16" s="156">
        <f>AV6*(Assumptions!B32+Assumptions!B33*3)</f>
        <v/>
      </c>
      <c r="AW16" s="156">
        <f>AW6*(Assumptions!B32+Assumptions!B33*3)</f>
        <v/>
      </c>
      <c r="AX16" s="156">
        <f>AX6*(Assumptions!B32+Assumptions!B33*3)</f>
        <v/>
      </c>
      <c r="AY16" s="156">
        <f>AY6*(Assumptions!B32+Assumptions!B33*4)</f>
        <v/>
      </c>
      <c r="AZ16" s="156">
        <f>AZ6*(Assumptions!B32+Assumptions!B33*4)</f>
        <v/>
      </c>
      <c r="BA16" s="156">
        <f>BA6*(Assumptions!B32+Assumptions!B33*4)</f>
        <v/>
      </c>
      <c r="BB16" s="156">
        <f>BB6*(Assumptions!B32+Assumptions!B33*4)</f>
        <v/>
      </c>
      <c r="BC16" s="156">
        <f>BC6*(Assumptions!B32+Assumptions!B33*4)</f>
        <v/>
      </c>
      <c r="BD16" s="156">
        <f>BD6*(Assumptions!B32+Assumptions!B33*4)</f>
        <v/>
      </c>
      <c r="BE16" s="156">
        <f>BE6*(Assumptions!B32+Assumptions!B33*4)</f>
        <v/>
      </c>
      <c r="BF16" s="156">
        <f>BF6*(Assumptions!B32+Assumptions!B33*4)</f>
        <v/>
      </c>
      <c r="BG16" s="156">
        <f>BG6*(Assumptions!B32+Assumptions!B33*4)</f>
        <v/>
      </c>
      <c r="BH16" s="156">
        <f>BH6*(Assumptions!B32+Assumptions!B33*4)</f>
        <v/>
      </c>
      <c r="BI16" s="156">
        <f>BI6*(Assumptions!B32+Assumptions!B33*4)</f>
        <v/>
      </c>
      <c r="BJ16" s="156">
        <f>BJ6*(Assumptions!B32+Assumptions!B33*4)</f>
        <v/>
      </c>
      <c r="BL16" s="157">
        <f>C16+D16+E16+F16+G16+H16+I16+J16+K16+L16+M16+N16</f>
        <v/>
      </c>
      <c r="BM16" s="157">
        <f>O16+P16+Q16+R16+S16+T16+U16+V16+W16+X16+Y16+Z16</f>
        <v/>
      </c>
      <c r="BN16" s="157">
        <f>AA16+AB16+AC16+AD16+AE16+AF16+AG16+AH16+AI16+AJ16+AK16+AL16</f>
        <v/>
      </c>
      <c r="BO16" s="157">
        <f>AM16+AN16+AO16+AP16+AQ16+AR16+AS16+AT16+AU16+AV16+AW16+AX16</f>
        <v/>
      </c>
      <c r="BP16" s="157">
        <f>AY16+AZ16+BA16+BB16+BC16+BD16+BE16+BF16+BG16+BH16+BI16+BJ16</f>
        <v/>
      </c>
    </row>
    <row r="17" ht="15" customHeight="1" s="104">
      <c r="A17" s="215" t="inlineStr">
        <is>
          <t xml:space="preserve">    % of Revenue</t>
        </is>
      </c>
      <c r="C17" s="216">
        <f>IF(C6=0,0,C16/C6)</f>
        <v/>
      </c>
      <c r="D17" s="216">
        <f>IF(D6=0,0,D16/D6)</f>
        <v/>
      </c>
      <c r="E17" s="216">
        <f>IF(E6=0,0,E16/E6)</f>
        <v/>
      </c>
      <c r="F17" s="216">
        <f>IF(F6=0,0,F16/F6)</f>
        <v/>
      </c>
      <c r="G17" s="216">
        <f>IF(G6=0,0,G16/G6)</f>
        <v/>
      </c>
      <c r="H17" s="216">
        <f>IF(H6=0,0,H16/H6)</f>
        <v/>
      </c>
      <c r="I17" s="216">
        <f>IF(I6=0,0,I16/I6)</f>
        <v/>
      </c>
      <c r="J17" s="216">
        <f>IF(J6=0,0,J16/J6)</f>
        <v/>
      </c>
      <c r="K17" s="216">
        <f>IF(K6=0,0,K16/K6)</f>
        <v/>
      </c>
      <c r="L17" s="216">
        <f>IF(L6=0,0,L16/L6)</f>
        <v/>
      </c>
      <c r="M17" s="216">
        <f>IF(M6=0,0,M16/M6)</f>
        <v/>
      </c>
      <c r="N17" s="216">
        <f>IF(N6=0,0,N16/N6)</f>
        <v/>
      </c>
      <c r="O17" s="216">
        <f>IF(O6=0,0,O16/O6)</f>
        <v/>
      </c>
      <c r="P17" s="216">
        <f>IF(P6=0,0,P16/P6)</f>
        <v/>
      </c>
      <c r="Q17" s="216">
        <f>IF(Q6=0,0,Q16/Q6)</f>
        <v/>
      </c>
      <c r="R17" s="216">
        <f>IF(R6=0,0,R16/R6)</f>
        <v/>
      </c>
      <c r="S17" s="216">
        <f>IF(S6=0,0,S16/S6)</f>
        <v/>
      </c>
      <c r="T17" s="216">
        <f>IF(T6=0,0,T16/T6)</f>
        <v/>
      </c>
      <c r="U17" s="216">
        <f>IF(U6=0,0,U16/U6)</f>
        <v/>
      </c>
      <c r="V17" s="216">
        <f>IF(V6=0,0,V16/V6)</f>
        <v/>
      </c>
      <c r="W17" s="216">
        <f>IF(W6=0,0,W16/W6)</f>
        <v/>
      </c>
      <c r="X17" s="216">
        <f>IF(X6=0,0,X16/X6)</f>
        <v/>
      </c>
      <c r="Y17" s="216">
        <f>IF(Y6=0,0,Y16/Y6)</f>
        <v/>
      </c>
      <c r="Z17" s="216">
        <f>IF(Z6=0,0,Z16/Z6)</f>
        <v/>
      </c>
      <c r="AA17" s="216">
        <f>IF(AA6=0,0,AA16/AA6)</f>
        <v/>
      </c>
      <c r="AB17" s="216">
        <f>IF(AB6=0,0,AB16/AB6)</f>
        <v/>
      </c>
      <c r="AC17" s="216">
        <f>IF(AC6=0,0,AC16/AC6)</f>
        <v/>
      </c>
      <c r="AD17" s="216">
        <f>IF(AD6=0,0,AD16/AD6)</f>
        <v/>
      </c>
      <c r="AE17" s="216">
        <f>IF(AE6=0,0,AE16/AE6)</f>
        <v/>
      </c>
      <c r="AF17" s="216">
        <f>IF(AF6=0,0,AF16/AF6)</f>
        <v/>
      </c>
      <c r="AG17" s="216">
        <f>IF(AG6=0,0,AG16/AG6)</f>
        <v/>
      </c>
      <c r="AH17" s="216">
        <f>IF(AH6=0,0,AH16/AH6)</f>
        <v/>
      </c>
      <c r="AI17" s="216">
        <f>IF(AI6=0,0,AI16/AI6)</f>
        <v/>
      </c>
      <c r="AJ17" s="216">
        <f>IF(AJ6=0,0,AJ16/AJ6)</f>
        <v/>
      </c>
      <c r="AK17" s="216">
        <f>IF(AK6=0,0,AK16/AK6)</f>
        <v/>
      </c>
      <c r="AL17" s="216">
        <f>IF(AL6=0,0,AL16/AL6)</f>
        <v/>
      </c>
      <c r="AM17" s="216">
        <f>IF(AM6=0,0,AM16/AM6)</f>
        <v/>
      </c>
      <c r="AN17" s="216">
        <f>IF(AN6=0,0,AN16/AN6)</f>
        <v/>
      </c>
      <c r="AO17" s="216">
        <f>IF(AO6=0,0,AO16/AO6)</f>
        <v/>
      </c>
      <c r="AP17" s="216">
        <f>IF(AP6=0,0,AP16/AP6)</f>
        <v/>
      </c>
      <c r="AQ17" s="216">
        <f>IF(AQ6=0,0,AQ16/AQ6)</f>
        <v/>
      </c>
      <c r="AR17" s="216">
        <f>IF(AR6=0,0,AR16/AR6)</f>
        <v/>
      </c>
      <c r="AS17" s="216">
        <f>IF(AS6=0,0,AS16/AS6)</f>
        <v/>
      </c>
      <c r="AT17" s="216">
        <f>IF(AT6=0,0,AT16/AT6)</f>
        <v/>
      </c>
      <c r="AU17" s="216">
        <f>IF(AU6=0,0,AU16/AU6)</f>
        <v/>
      </c>
      <c r="AV17" s="216">
        <f>IF(AV6=0,0,AV16/AV6)</f>
        <v/>
      </c>
      <c r="AW17" s="216">
        <f>IF(AW6=0,0,AW16/AW6)</f>
        <v/>
      </c>
      <c r="AX17" s="216">
        <f>IF(AX6=0,0,AX16/AX6)</f>
        <v/>
      </c>
      <c r="AY17" s="216">
        <f>IF(AY6=0,0,AY16/AY6)</f>
        <v/>
      </c>
      <c r="AZ17" s="216">
        <f>IF(AZ6=0,0,AZ16/AZ6)</f>
        <v/>
      </c>
      <c r="BA17" s="216">
        <f>IF(BA6=0,0,BA16/BA6)</f>
        <v/>
      </c>
      <c r="BB17" s="216">
        <f>IF(BB6=0,0,BB16/BB6)</f>
        <v/>
      </c>
      <c r="BC17" s="216">
        <f>IF(BC6=0,0,BC16/BC6)</f>
        <v/>
      </c>
      <c r="BD17" s="216">
        <f>IF(BD6=0,0,BD16/BD6)</f>
        <v/>
      </c>
      <c r="BE17" s="216">
        <f>IF(BE6=0,0,BE16/BE6)</f>
        <v/>
      </c>
      <c r="BF17" s="216">
        <f>IF(BF6=0,0,BF16/BF6)</f>
        <v/>
      </c>
      <c r="BG17" s="216">
        <f>IF(BG6=0,0,BG16/BG6)</f>
        <v/>
      </c>
      <c r="BH17" s="216">
        <f>IF(BH6=0,0,BH16/BH6)</f>
        <v/>
      </c>
      <c r="BI17" s="216">
        <f>IF(BI6=0,0,BI16/BI6)</f>
        <v/>
      </c>
      <c r="BJ17" s="216">
        <f>IF(BJ6=0,0,BJ16/BJ6)</f>
        <v/>
      </c>
      <c r="BL17" s="217">
        <f>IF((C6+D6+E6+F6+G6+H6+I6+J6+K6+L6+M6+N6)=0,0,(C16+D16+E16+F16+G16+H16+I16+J16+K16+L16+M16+N16)/(C6+D6+E6+F6+G6+H6+I6+J6+K6+L6+M6+N6))</f>
        <v/>
      </c>
      <c r="BM17" s="217">
        <f>IF((O6+P6+Q6+R6+S6+T6+U6+V6+W6+X6+Y6+Z6)=0,0,(O16+P16+Q16+R16+S16+T16+U16+V16+W16+X16+Y16+Z16)/(O6+P6+Q6+R6+S6+T6+U6+V6+W6+X6+Y6+Z6))</f>
        <v/>
      </c>
      <c r="BN17" s="217">
        <f>IF((AA6+AB6+AC6+AD6+AE6+AF6+AG6+AH6+AI6+AJ6+AK6+AL6)=0,0,(AA16+AB16+AC16+AD16+AE16+AF16+AG16+AH16+AI16+AJ16+AK16+AL16)/(AA6+AB6+AC6+AD6+AE6+AF6+AG6+AH6+AI6+AJ6+AK6+AL6))</f>
        <v/>
      </c>
      <c r="BO17" s="217">
        <f>IF((AM6+AN6+AO6+AP6+AQ6+AR6+AS6+AT6+AU6+AV6+AW6+AX6)=0,0,(AM16+AN16+AO16+AP16+AQ16+AR16+AS16+AT16+AU16+AV16+AW16+AX16)/(AM6+AN6+AO6+AP6+AQ6+AR6+AS6+AT6+AU6+AV6+AW6+AX6))</f>
        <v/>
      </c>
      <c r="BP17" s="217">
        <f>IF((AY6+AZ6+BA6+BB6+BC6+BD6+BE6+BF6+BG6+BH6+BI6+BJ6)=0,0,(AY16+AZ16+BA16+BB16+BC16+BD16+BE16+BF16+BG16+BH16+BI16+BJ16)/(AY6+AZ6+BA6+BB6+BC6+BD6+BE6+BF6+BG6+BH6+BI6+BJ6))</f>
        <v/>
      </c>
    </row>
    <row r="18" ht="15" customHeight="1" s="104">
      <c r="A18" s="107" t="inlineStr">
        <is>
          <t>Other Operating Expenses</t>
        </is>
      </c>
      <c r="C18" s="156">
        <f>C6*(Assumptions!B34+Assumptions!B35*0)</f>
        <v/>
      </c>
      <c r="D18" s="156">
        <f>D6*(Assumptions!B34+Assumptions!B35*0)</f>
        <v/>
      </c>
      <c r="E18" s="156">
        <f>E6*(Assumptions!B34+Assumptions!B35*0)</f>
        <v/>
      </c>
      <c r="F18" s="156">
        <f>F6*(Assumptions!B34+Assumptions!B35*0)</f>
        <v/>
      </c>
      <c r="G18" s="156">
        <f>G6*(Assumptions!B34+Assumptions!B35*0)</f>
        <v/>
      </c>
      <c r="H18" s="156">
        <f>H6*(Assumptions!B34+Assumptions!B35*0)</f>
        <v/>
      </c>
      <c r="I18" s="156">
        <f>I6*(Assumptions!B34+Assumptions!B35*0)</f>
        <v/>
      </c>
      <c r="J18" s="156">
        <f>J6*(Assumptions!B34+Assumptions!B35*0)</f>
        <v/>
      </c>
      <c r="K18" s="156">
        <f>K6*(Assumptions!B34+Assumptions!B35*0)</f>
        <v/>
      </c>
      <c r="L18" s="156">
        <f>L6*(Assumptions!B34+Assumptions!B35*0)</f>
        <v/>
      </c>
      <c r="M18" s="156">
        <f>M6*(Assumptions!B34+Assumptions!B35*0)</f>
        <v/>
      </c>
      <c r="N18" s="156">
        <f>N6*(Assumptions!B34+Assumptions!B35*0)</f>
        <v/>
      </c>
      <c r="O18" s="156">
        <f>O6*(Assumptions!B34+Assumptions!B35*1)</f>
        <v/>
      </c>
      <c r="P18" s="156">
        <f>P6*(Assumptions!B34+Assumptions!B35*1)</f>
        <v/>
      </c>
      <c r="Q18" s="156">
        <f>Q6*(Assumptions!B34+Assumptions!B35*1)</f>
        <v/>
      </c>
      <c r="R18" s="156">
        <f>R6*(Assumptions!B34+Assumptions!B35*1)</f>
        <v/>
      </c>
      <c r="S18" s="156">
        <f>S6*(Assumptions!B34+Assumptions!B35*1)</f>
        <v/>
      </c>
      <c r="T18" s="156">
        <f>T6*(Assumptions!B34+Assumptions!B35*1)</f>
        <v/>
      </c>
      <c r="U18" s="156">
        <f>U6*(Assumptions!B34+Assumptions!B35*1)</f>
        <v/>
      </c>
      <c r="V18" s="156">
        <f>V6*(Assumptions!B34+Assumptions!B35*1)</f>
        <v/>
      </c>
      <c r="W18" s="156">
        <f>W6*(Assumptions!B34+Assumptions!B35*1)</f>
        <v/>
      </c>
      <c r="X18" s="156">
        <f>X6*(Assumptions!B34+Assumptions!B35*1)</f>
        <v/>
      </c>
      <c r="Y18" s="156">
        <f>Y6*(Assumptions!B34+Assumptions!B35*1)</f>
        <v/>
      </c>
      <c r="Z18" s="156">
        <f>Z6*(Assumptions!B34+Assumptions!B35*1)</f>
        <v/>
      </c>
      <c r="AA18" s="156">
        <f>AA6*(Assumptions!B34+Assumptions!B35*2)</f>
        <v/>
      </c>
      <c r="AB18" s="156">
        <f>AB6*(Assumptions!B34+Assumptions!B35*2)</f>
        <v/>
      </c>
      <c r="AC18" s="156">
        <f>AC6*(Assumptions!B34+Assumptions!B35*2)</f>
        <v/>
      </c>
      <c r="AD18" s="156">
        <f>AD6*(Assumptions!B34+Assumptions!B35*2)</f>
        <v/>
      </c>
      <c r="AE18" s="156">
        <f>AE6*(Assumptions!B34+Assumptions!B35*2)</f>
        <v/>
      </c>
      <c r="AF18" s="156">
        <f>AF6*(Assumptions!B34+Assumptions!B35*2)</f>
        <v/>
      </c>
      <c r="AG18" s="156">
        <f>AG6*(Assumptions!B34+Assumptions!B35*2)</f>
        <v/>
      </c>
      <c r="AH18" s="156">
        <f>AH6*(Assumptions!B34+Assumptions!B35*2)</f>
        <v/>
      </c>
      <c r="AI18" s="156">
        <f>AI6*(Assumptions!B34+Assumptions!B35*2)</f>
        <v/>
      </c>
      <c r="AJ18" s="156">
        <f>AJ6*(Assumptions!B34+Assumptions!B35*2)</f>
        <v/>
      </c>
      <c r="AK18" s="156">
        <f>AK6*(Assumptions!B34+Assumptions!B35*2)</f>
        <v/>
      </c>
      <c r="AL18" s="156">
        <f>AL6*(Assumptions!B34+Assumptions!B35*2)</f>
        <v/>
      </c>
      <c r="AM18" s="156">
        <f>AM6*(Assumptions!B34+Assumptions!B35*3)</f>
        <v/>
      </c>
      <c r="AN18" s="156">
        <f>AN6*(Assumptions!B34+Assumptions!B35*3)</f>
        <v/>
      </c>
      <c r="AO18" s="156">
        <f>AO6*(Assumptions!B34+Assumptions!B35*3)</f>
        <v/>
      </c>
      <c r="AP18" s="156">
        <f>AP6*(Assumptions!B34+Assumptions!B35*3)</f>
        <v/>
      </c>
      <c r="AQ18" s="156">
        <f>AQ6*(Assumptions!B34+Assumptions!B35*3)</f>
        <v/>
      </c>
      <c r="AR18" s="156">
        <f>AR6*(Assumptions!B34+Assumptions!B35*3)</f>
        <v/>
      </c>
      <c r="AS18" s="156">
        <f>AS6*(Assumptions!B34+Assumptions!B35*3)</f>
        <v/>
      </c>
      <c r="AT18" s="156">
        <f>AT6*(Assumptions!B34+Assumptions!B35*3)</f>
        <v/>
      </c>
      <c r="AU18" s="156">
        <f>AU6*(Assumptions!B34+Assumptions!B35*3)</f>
        <v/>
      </c>
      <c r="AV18" s="156">
        <f>AV6*(Assumptions!B34+Assumptions!B35*3)</f>
        <v/>
      </c>
      <c r="AW18" s="156">
        <f>AW6*(Assumptions!B34+Assumptions!B35*3)</f>
        <v/>
      </c>
      <c r="AX18" s="156">
        <f>AX6*(Assumptions!B34+Assumptions!B35*3)</f>
        <v/>
      </c>
      <c r="AY18" s="156">
        <f>AY6*(Assumptions!B34+Assumptions!B35*4)</f>
        <v/>
      </c>
      <c r="AZ18" s="156">
        <f>AZ6*(Assumptions!B34+Assumptions!B35*4)</f>
        <v/>
      </c>
      <c r="BA18" s="156">
        <f>BA6*(Assumptions!B34+Assumptions!B35*4)</f>
        <v/>
      </c>
      <c r="BB18" s="156">
        <f>BB6*(Assumptions!B34+Assumptions!B35*4)</f>
        <v/>
      </c>
      <c r="BC18" s="156">
        <f>BC6*(Assumptions!B34+Assumptions!B35*4)</f>
        <v/>
      </c>
      <c r="BD18" s="156">
        <f>BD6*(Assumptions!B34+Assumptions!B35*4)</f>
        <v/>
      </c>
      <c r="BE18" s="156">
        <f>BE6*(Assumptions!B34+Assumptions!B35*4)</f>
        <v/>
      </c>
      <c r="BF18" s="156">
        <f>BF6*(Assumptions!B34+Assumptions!B35*4)</f>
        <v/>
      </c>
      <c r="BG18" s="156">
        <f>BG6*(Assumptions!B34+Assumptions!B35*4)</f>
        <v/>
      </c>
      <c r="BH18" s="156">
        <f>BH6*(Assumptions!B34+Assumptions!B35*4)</f>
        <v/>
      </c>
      <c r="BI18" s="156">
        <f>BI6*(Assumptions!B34+Assumptions!B35*4)</f>
        <v/>
      </c>
      <c r="BJ18" s="156">
        <f>BJ6*(Assumptions!B34+Assumptions!B35*4)</f>
        <v/>
      </c>
      <c r="BL18" s="157">
        <f>C18+D18+E18+F18+G18+H18+I18+J18+K18+L18+M18+N18</f>
        <v/>
      </c>
      <c r="BM18" s="157">
        <f>O18+P18+Q18+R18+S18+T18+U18+V18+W18+X18+Y18+Z18</f>
        <v/>
      </c>
      <c r="BN18" s="157">
        <f>AA18+AB18+AC18+AD18+AE18+AF18+AG18+AH18+AI18+AJ18+AK18+AL18</f>
        <v/>
      </c>
      <c r="BO18" s="157">
        <f>AM18+AN18+AO18+AP18+AQ18+AR18+AS18+AT18+AU18+AV18+AW18+AX18</f>
        <v/>
      </c>
      <c r="BP18" s="157">
        <f>AY18+AZ18+BA18+BB18+BC18+BD18+BE18+BF18+BG18+BH18+BI18+BJ18</f>
        <v/>
      </c>
    </row>
    <row r="19" ht="15" customHeight="1" s="104">
      <c r="A19" s="215" t="inlineStr">
        <is>
          <t xml:space="preserve">    % of Revenue</t>
        </is>
      </c>
      <c r="C19" s="216">
        <f>IF(C6=0,0,C18/C6)</f>
        <v/>
      </c>
      <c r="D19" s="216">
        <f>IF(D6=0,0,D18/D6)</f>
        <v/>
      </c>
      <c r="E19" s="216">
        <f>IF(E6=0,0,E18/E6)</f>
        <v/>
      </c>
      <c r="F19" s="216">
        <f>IF(F6=0,0,F18/F6)</f>
        <v/>
      </c>
      <c r="G19" s="216">
        <f>IF(G6=0,0,G18/G6)</f>
        <v/>
      </c>
      <c r="H19" s="216">
        <f>IF(H6=0,0,H18/H6)</f>
        <v/>
      </c>
      <c r="I19" s="216">
        <f>IF(I6=0,0,I18/I6)</f>
        <v/>
      </c>
      <c r="J19" s="216">
        <f>IF(J6=0,0,J18/J6)</f>
        <v/>
      </c>
      <c r="K19" s="216">
        <f>IF(K6=0,0,K18/K6)</f>
        <v/>
      </c>
      <c r="L19" s="216">
        <f>IF(L6=0,0,L18/L6)</f>
        <v/>
      </c>
      <c r="M19" s="216">
        <f>IF(M6=0,0,M18/M6)</f>
        <v/>
      </c>
      <c r="N19" s="216">
        <f>IF(N6=0,0,N18/N6)</f>
        <v/>
      </c>
      <c r="O19" s="216">
        <f>IF(O6=0,0,O18/O6)</f>
        <v/>
      </c>
      <c r="P19" s="216">
        <f>IF(P6=0,0,P18/P6)</f>
        <v/>
      </c>
      <c r="Q19" s="216">
        <f>IF(Q6=0,0,Q18/Q6)</f>
        <v/>
      </c>
      <c r="R19" s="216">
        <f>IF(R6=0,0,R18/R6)</f>
        <v/>
      </c>
      <c r="S19" s="216">
        <f>IF(S6=0,0,S18/S6)</f>
        <v/>
      </c>
      <c r="T19" s="216">
        <f>IF(T6=0,0,T18/T6)</f>
        <v/>
      </c>
      <c r="U19" s="216">
        <f>IF(U6=0,0,U18/U6)</f>
        <v/>
      </c>
      <c r="V19" s="216">
        <f>IF(V6=0,0,V18/V6)</f>
        <v/>
      </c>
      <c r="W19" s="216">
        <f>IF(W6=0,0,W18/W6)</f>
        <v/>
      </c>
      <c r="X19" s="216">
        <f>IF(X6=0,0,X18/X6)</f>
        <v/>
      </c>
      <c r="Y19" s="216">
        <f>IF(Y6=0,0,Y18/Y6)</f>
        <v/>
      </c>
      <c r="Z19" s="216">
        <f>IF(Z6=0,0,Z18/Z6)</f>
        <v/>
      </c>
      <c r="AA19" s="216">
        <f>IF(AA6=0,0,AA18/AA6)</f>
        <v/>
      </c>
      <c r="AB19" s="216">
        <f>IF(AB6=0,0,AB18/AB6)</f>
        <v/>
      </c>
      <c r="AC19" s="216">
        <f>IF(AC6=0,0,AC18/AC6)</f>
        <v/>
      </c>
      <c r="AD19" s="216">
        <f>IF(AD6=0,0,AD18/AD6)</f>
        <v/>
      </c>
      <c r="AE19" s="216">
        <f>IF(AE6=0,0,AE18/AE6)</f>
        <v/>
      </c>
      <c r="AF19" s="216">
        <f>IF(AF6=0,0,AF18/AF6)</f>
        <v/>
      </c>
      <c r="AG19" s="216">
        <f>IF(AG6=0,0,AG18/AG6)</f>
        <v/>
      </c>
      <c r="AH19" s="216">
        <f>IF(AH6=0,0,AH18/AH6)</f>
        <v/>
      </c>
      <c r="AI19" s="216">
        <f>IF(AI6=0,0,AI18/AI6)</f>
        <v/>
      </c>
      <c r="AJ19" s="216">
        <f>IF(AJ6=0,0,AJ18/AJ6)</f>
        <v/>
      </c>
      <c r="AK19" s="216">
        <f>IF(AK6=0,0,AK18/AK6)</f>
        <v/>
      </c>
      <c r="AL19" s="216">
        <f>IF(AL6=0,0,AL18/AL6)</f>
        <v/>
      </c>
      <c r="AM19" s="216">
        <f>IF(AM6=0,0,AM18/AM6)</f>
        <v/>
      </c>
      <c r="AN19" s="216">
        <f>IF(AN6=0,0,AN18/AN6)</f>
        <v/>
      </c>
      <c r="AO19" s="216">
        <f>IF(AO6=0,0,AO18/AO6)</f>
        <v/>
      </c>
      <c r="AP19" s="216">
        <f>IF(AP6=0,0,AP18/AP6)</f>
        <v/>
      </c>
      <c r="AQ19" s="216">
        <f>IF(AQ6=0,0,AQ18/AQ6)</f>
        <v/>
      </c>
      <c r="AR19" s="216">
        <f>IF(AR6=0,0,AR18/AR6)</f>
        <v/>
      </c>
      <c r="AS19" s="216">
        <f>IF(AS6=0,0,AS18/AS6)</f>
        <v/>
      </c>
      <c r="AT19" s="216">
        <f>IF(AT6=0,0,AT18/AT6)</f>
        <v/>
      </c>
      <c r="AU19" s="216">
        <f>IF(AU6=0,0,AU18/AU6)</f>
        <v/>
      </c>
      <c r="AV19" s="216">
        <f>IF(AV6=0,0,AV18/AV6)</f>
        <v/>
      </c>
      <c r="AW19" s="216">
        <f>IF(AW6=0,0,AW18/AW6)</f>
        <v/>
      </c>
      <c r="AX19" s="216">
        <f>IF(AX6=0,0,AX18/AX6)</f>
        <v/>
      </c>
      <c r="AY19" s="216">
        <f>IF(AY6=0,0,AY18/AY6)</f>
        <v/>
      </c>
      <c r="AZ19" s="216">
        <f>IF(AZ6=0,0,AZ18/AZ6)</f>
        <v/>
      </c>
      <c r="BA19" s="216">
        <f>IF(BA6=0,0,BA18/BA6)</f>
        <v/>
      </c>
      <c r="BB19" s="216">
        <f>IF(BB6=0,0,BB18/BB6)</f>
        <v/>
      </c>
      <c r="BC19" s="216">
        <f>IF(BC6=0,0,BC18/BC6)</f>
        <v/>
      </c>
      <c r="BD19" s="216">
        <f>IF(BD6=0,0,BD18/BD6)</f>
        <v/>
      </c>
      <c r="BE19" s="216">
        <f>IF(BE6=0,0,BE18/BE6)</f>
        <v/>
      </c>
      <c r="BF19" s="216">
        <f>IF(BF6=0,0,BF18/BF6)</f>
        <v/>
      </c>
      <c r="BG19" s="216">
        <f>IF(BG6=0,0,BG18/BG6)</f>
        <v/>
      </c>
      <c r="BH19" s="216">
        <f>IF(BH6=0,0,BH18/BH6)</f>
        <v/>
      </c>
      <c r="BI19" s="216">
        <f>IF(BI6=0,0,BI18/BI6)</f>
        <v/>
      </c>
      <c r="BJ19" s="216">
        <f>IF(BJ6=0,0,BJ18/BJ6)</f>
        <v/>
      </c>
      <c r="BL19" s="217">
        <f>IF((C6+D6+E6+F6+G6+H6+I6+J6+K6+L6+M6+N6)=0,0,(C18+D18+E18+F18+G18+H18+I18+J18+K18+L18+M18+N18)/(C6+D6+E6+F6+G6+H6+I6+J6+K6+L6+M6+N6))</f>
        <v/>
      </c>
      <c r="BM19" s="217">
        <f>IF((O6+P6+Q6+R6+S6+T6+U6+V6+W6+X6+Y6+Z6)=0,0,(O18+P18+Q18+R18+S18+T18+U18+V18+W18+X18+Y18+Z18)/(O6+P6+Q6+R6+S6+T6+U6+V6+W6+X6+Y6+Z6))</f>
        <v/>
      </c>
      <c r="BN19" s="217">
        <f>IF((AA6+AB6+AC6+AD6+AE6+AF6+AG6+AH6+AI6+AJ6+AK6+AL6)=0,0,(AA18+AB18+AC18+AD18+AE18+AF18+AG18+AH18+AI18+AJ18+AK18+AL18)/(AA6+AB6+AC6+AD6+AE6+AF6+AG6+AH6+AI6+AJ6+AK6+AL6))</f>
        <v/>
      </c>
      <c r="BO19" s="217">
        <f>IF((AM6+AN6+AO6+AP6+AQ6+AR6+AS6+AT6+AU6+AV6+AW6+AX6)=0,0,(AM18+AN18+AO18+AP18+AQ18+AR18+AS18+AT18+AU18+AV18+AW18+AX18)/(AM6+AN6+AO6+AP6+AQ6+AR6+AS6+AT6+AU6+AV6+AW6+AX6))</f>
        <v/>
      </c>
      <c r="BP19" s="217">
        <f>IF((AY6+AZ6+BA6+BB6+BC6+BD6+BE6+BF6+BG6+BH6+BI6+BJ6)=0,0,(AY18+AZ18+BA18+BB18+BC18+BD18+BE18+BF18+BG18+BH18+BI18+BJ18)/(AY6+AZ6+BA6+BB6+BC6+BD6+BE6+BF6+BG6+BH6+BI6+BJ6))</f>
        <v/>
      </c>
    </row>
    <row r="20" ht="15" customHeight="1" s="104">
      <c r="A20" s="116" t="inlineStr">
        <is>
          <t>Total Operating Expenses</t>
        </is>
      </c>
      <c r="C20" s="151">
        <f>C8+C10+C12+C14+C16+C18</f>
        <v/>
      </c>
      <c r="D20" s="151">
        <f>D8+D10+D12+D14+D16+D18</f>
        <v/>
      </c>
      <c r="E20" s="151">
        <f>E8+E10+E12+E14+E16+E18</f>
        <v/>
      </c>
      <c r="F20" s="151">
        <f>F8+F10+F12+F14+F16+F18</f>
        <v/>
      </c>
      <c r="G20" s="151">
        <f>G8+G10+G12+G14+G16+G18</f>
        <v/>
      </c>
      <c r="H20" s="151">
        <f>H8+H10+H12+H14+H16+H18</f>
        <v/>
      </c>
      <c r="I20" s="151">
        <f>I8+I10+I12+I14+I16+I18</f>
        <v/>
      </c>
      <c r="J20" s="151">
        <f>J8+J10+J12+J14+J16+J18</f>
        <v/>
      </c>
      <c r="K20" s="151">
        <f>K8+K10+K12+K14+K16+K18</f>
        <v/>
      </c>
      <c r="L20" s="151">
        <f>L8+L10+L12+L14+L16+L18</f>
        <v/>
      </c>
      <c r="M20" s="151">
        <f>M8+M10+M12+M14+M16+M18</f>
        <v/>
      </c>
      <c r="N20" s="151">
        <f>N8+N10+N12+N14+N16+N18</f>
        <v/>
      </c>
      <c r="O20" s="151">
        <f>O8+O10+O12+O14+O16+O18</f>
        <v/>
      </c>
      <c r="P20" s="151">
        <f>P8+P10+P12+P14+P16+P18</f>
        <v/>
      </c>
      <c r="Q20" s="151">
        <f>Q8+Q10+Q12+Q14+Q16+Q18</f>
        <v/>
      </c>
      <c r="R20" s="151">
        <f>R8+R10+R12+R14+R16+R18</f>
        <v/>
      </c>
      <c r="S20" s="151">
        <f>S8+S10+S12+S14+S16+S18</f>
        <v/>
      </c>
      <c r="T20" s="151">
        <f>T8+T10+T12+T14+T16+T18</f>
        <v/>
      </c>
      <c r="U20" s="151">
        <f>U8+U10+U12+U14+U16+U18</f>
        <v/>
      </c>
      <c r="V20" s="151">
        <f>V8+V10+V12+V14+V16+V18</f>
        <v/>
      </c>
      <c r="W20" s="151">
        <f>W8+W10+W12+W14+W16+W18</f>
        <v/>
      </c>
      <c r="X20" s="151">
        <f>X8+X10+X12+X14+X16+X18</f>
        <v/>
      </c>
      <c r="Y20" s="151">
        <f>Y8+Y10+Y12+Y14+Y16+Y18</f>
        <v/>
      </c>
      <c r="Z20" s="151">
        <f>Z8+Z10+Z12+Z14+Z16+Z18</f>
        <v/>
      </c>
      <c r="AA20" s="151">
        <f>AA8+AA10+AA12+AA14+AA16+AA18</f>
        <v/>
      </c>
      <c r="AB20" s="151">
        <f>AB8+AB10+AB12+AB14+AB16+AB18</f>
        <v/>
      </c>
      <c r="AC20" s="151">
        <f>AC8+AC10+AC12+AC14+AC16+AC18</f>
        <v/>
      </c>
      <c r="AD20" s="151">
        <f>AD8+AD10+AD12+AD14+AD16+AD18</f>
        <v/>
      </c>
      <c r="AE20" s="151">
        <f>AE8+AE10+AE12+AE14+AE16+AE18</f>
        <v/>
      </c>
      <c r="AF20" s="151">
        <f>AF8+AF10+AF12+AF14+AF16+AF18</f>
        <v/>
      </c>
      <c r="AG20" s="151">
        <f>AG8+AG10+AG12+AG14+AG16+AG18</f>
        <v/>
      </c>
      <c r="AH20" s="151">
        <f>AH8+AH10+AH12+AH14+AH16+AH18</f>
        <v/>
      </c>
      <c r="AI20" s="151">
        <f>AI8+AI10+AI12+AI14+AI16+AI18</f>
        <v/>
      </c>
      <c r="AJ20" s="151">
        <f>AJ8+AJ10+AJ12+AJ14+AJ16+AJ18</f>
        <v/>
      </c>
      <c r="AK20" s="151">
        <f>AK8+AK10+AK12+AK14+AK16+AK18</f>
        <v/>
      </c>
      <c r="AL20" s="151">
        <f>AL8+AL10+AL12+AL14+AL16+AL18</f>
        <v/>
      </c>
      <c r="AM20" s="151">
        <f>AM8+AM10+AM12+AM14+AM16+AM18</f>
        <v/>
      </c>
      <c r="AN20" s="151">
        <f>AN8+AN10+AN12+AN14+AN16+AN18</f>
        <v/>
      </c>
      <c r="AO20" s="151">
        <f>AO8+AO10+AO12+AO14+AO16+AO18</f>
        <v/>
      </c>
      <c r="AP20" s="151">
        <f>AP8+AP10+AP12+AP14+AP16+AP18</f>
        <v/>
      </c>
      <c r="AQ20" s="151">
        <f>AQ8+AQ10+AQ12+AQ14+AQ16+AQ18</f>
        <v/>
      </c>
      <c r="AR20" s="151">
        <f>AR8+AR10+AR12+AR14+AR16+AR18</f>
        <v/>
      </c>
      <c r="AS20" s="151">
        <f>AS8+AS10+AS12+AS14+AS16+AS18</f>
        <v/>
      </c>
      <c r="AT20" s="151">
        <f>AT8+AT10+AT12+AT14+AT16+AT18</f>
        <v/>
      </c>
      <c r="AU20" s="151">
        <f>AU8+AU10+AU12+AU14+AU16+AU18</f>
        <v/>
      </c>
      <c r="AV20" s="151">
        <f>AV8+AV10+AV12+AV14+AV16+AV18</f>
        <v/>
      </c>
      <c r="AW20" s="151">
        <f>AW8+AW10+AW12+AW14+AW16+AW18</f>
        <v/>
      </c>
      <c r="AX20" s="151">
        <f>AX8+AX10+AX12+AX14+AX16+AX18</f>
        <v/>
      </c>
      <c r="AY20" s="151">
        <f>AY8+AY10+AY12+AY14+AY16+AY18</f>
        <v/>
      </c>
      <c r="AZ20" s="151">
        <f>AZ8+AZ10+AZ12+AZ14+AZ16+AZ18</f>
        <v/>
      </c>
      <c r="BA20" s="151">
        <f>BA8+BA10+BA12+BA14+BA16+BA18</f>
        <v/>
      </c>
      <c r="BB20" s="151">
        <f>BB8+BB10+BB12+BB14+BB16+BB18</f>
        <v/>
      </c>
      <c r="BC20" s="151">
        <f>BC8+BC10+BC12+BC14+BC16+BC18</f>
        <v/>
      </c>
      <c r="BD20" s="151">
        <f>BD8+BD10+BD12+BD14+BD16+BD18</f>
        <v/>
      </c>
      <c r="BE20" s="151">
        <f>BE8+BE10+BE12+BE14+BE16+BE18</f>
        <v/>
      </c>
      <c r="BF20" s="151">
        <f>BF8+BF10+BF12+BF14+BF16+BF18</f>
        <v/>
      </c>
      <c r="BG20" s="151">
        <f>BG8+BG10+BG12+BG14+BG16+BG18</f>
        <v/>
      </c>
      <c r="BH20" s="151">
        <f>BH8+BH10+BH12+BH14+BH16+BH18</f>
        <v/>
      </c>
      <c r="BI20" s="151">
        <f>BI8+BI10+BI12+BI14+BI16+BI18</f>
        <v/>
      </c>
      <c r="BJ20" s="151">
        <f>BJ8+BJ10+BJ12+BJ14+BJ16+BJ18</f>
        <v/>
      </c>
      <c r="BL20" s="152">
        <f>C20+D20+E20+F20+G20+H20+I20+J20+K20+L20+M20+N20</f>
        <v/>
      </c>
      <c r="BM20" s="152">
        <f>O20+P20+Q20+R20+S20+T20+U20+V20+W20+X20+Y20+Z20</f>
        <v/>
      </c>
      <c r="BN20" s="152">
        <f>AA20+AB20+AC20+AD20+AE20+AF20+AG20+AH20+AI20+AJ20+AK20+AL20</f>
        <v/>
      </c>
      <c r="BO20" s="152">
        <f>AM20+AN20+AO20+AP20+AQ20+AR20+AS20+AT20+AU20+AV20+AW20+AX20</f>
        <v/>
      </c>
      <c r="BP20" s="152">
        <f>AY20+AZ20+BA20+BB20+BC20+BD20+BE20+BF20+BG20+BH20+BI20+BJ20</f>
        <v/>
      </c>
    </row>
    <row r="21" ht="15" customHeight="1" s="104">
      <c r="A21" s="106" t="inlineStr">
        <is>
          <t>EBITDA</t>
        </is>
      </c>
    </row>
    <row r="22" ht="15" customHeight="1" s="104">
      <c r="A22" s="116" t="inlineStr">
        <is>
          <t>EBITDA</t>
        </is>
      </c>
      <c r="C22" s="151">
        <f>C6-C20</f>
        <v/>
      </c>
      <c r="D22" s="151">
        <f>D6-D20</f>
        <v/>
      </c>
      <c r="E22" s="151">
        <f>E6-E20</f>
        <v/>
      </c>
      <c r="F22" s="151">
        <f>F6-F20</f>
        <v/>
      </c>
      <c r="G22" s="151">
        <f>G6-G20</f>
        <v/>
      </c>
      <c r="H22" s="151">
        <f>H6-H20</f>
        <v/>
      </c>
      <c r="I22" s="151">
        <f>I6-I20</f>
        <v/>
      </c>
      <c r="J22" s="151">
        <f>J6-J20</f>
        <v/>
      </c>
      <c r="K22" s="151">
        <f>K6-K20</f>
        <v/>
      </c>
      <c r="L22" s="151">
        <f>L6-L20</f>
        <v/>
      </c>
      <c r="M22" s="151">
        <f>M6-M20</f>
        <v/>
      </c>
      <c r="N22" s="151">
        <f>N6-N20</f>
        <v/>
      </c>
      <c r="O22" s="151">
        <f>O6-O20</f>
        <v/>
      </c>
      <c r="P22" s="151">
        <f>P6-P20</f>
        <v/>
      </c>
      <c r="Q22" s="151">
        <f>Q6-Q20</f>
        <v/>
      </c>
      <c r="R22" s="151">
        <f>R6-R20</f>
        <v/>
      </c>
      <c r="S22" s="151">
        <f>S6-S20</f>
        <v/>
      </c>
      <c r="T22" s="151">
        <f>T6-T20</f>
        <v/>
      </c>
      <c r="U22" s="151">
        <f>U6-U20</f>
        <v/>
      </c>
      <c r="V22" s="151">
        <f>V6-V20</f>
        <v/>
      </c>
      <c r="W22" s="151">
        <f>W6-W20</f>
        <v/>
      </c>
      <c r="X22" s="151">
        <f>X6-X20</f>
        <v/>
      </c>
      <c r="Y22" s="151">
        <f>Y6-Y20</f>
        <v/>
      </c>
      <c r="Z22" s="151">
        <f>Z6-Z20</f>
        <v/>
      </c>
      <c r="AA22" s="151">
        <f>AA6-AA20</f>
        <v/>
      </c>
      <c r="AB22" s="151">
        <f>AB6-AB20</f>
        <v/>
      </c>
      <c r="AC22" s="151">
        <f>AC6-AC20</f>
        <v/>
      </c>
      <c r="AD22" s="151">
        <f>AD6-AD20</f>
        <v/>
      </c>
      <c r="AE22" s="151">
        <f>AE6-AE20</f>
        <v/>
      </c>
      <c r="AF22" s="151">
        <f>AF6-AF20</f>
        <v/>
      </c>
      <c r="AG22" s="151">
        <f>AG6-AG20</f>
        <v/>
      </c>
      <c r="AH22" s="151">
        <f>AH6-AH20</f>
        <v/>
      </c>
      <c r="AI22" s="151">
        <f>AI6-AI20</f>
        <v/>
      </c>
      <c r="AJ22" s="151">
        <f>AJ6-AJ20</f>
        <v/>
      </c>
      <c r="AK22" s="151">
        <f>AK6-AK20</f>
        <v/>
      </c>
      <c r="AL22" s="151">
        <f>AL6-AL20</f>
        <v/>
      </c>
      <c r="AM22" s="151">
        <f>AM6-AM20</f>
        <v/>
      </c>
      <c r="AN22" s="151">
        <f>AN6-AN20</f>
        <v/>
      </c>
      <c r="AO22" s="151">
        <f>AO6-AO20</f>
        <v/>
      </c>
      <c r="AP22" s="151">
        <f>AP6-AP20</f>
        <v/>
      </c>
      <c r="AQ22" s="151">
        <f>AQ6-AQ20</f>
        <v/>
      </c>
      <c r="AR22" s="151">
        <f>AR6-AR20</f>
        <v/>
      </c>
      <c r="AS22" s="151">
        <f>AS6-AS20</f>
        <v/>
      </c>
      <c r="AT22" s="151">
        <f>AT6-AT20</f>
        <v/>
      </c>
      <c r="AU22" s="151">
        <f>AU6-AU20</f>
        <v/>
      </c>
      <c r="AV22" s="151">
        <f>AV6-AV20</f>
        <v/>
      </c>
      <c r="AW22" s="151">
        <f>AW6-AW20</f>
        <v/>
      </c>
      <c r="AX22" s="151">
        <f>AX6-AX20</f>
        <v/>
      </c>
      <c r="AY22" s="151">
        <f>AY6-AY20</f>
        <v/>
      </c>
      <c r="AZ22" s="151">
        <f>AZ6-AZ20</f>
        <v/>
      </c>
      <c r="BA22" s="151">
        <f>BA6-BA20</f>
        <v/>
      </c>
      <c r="BB22" s="151">
        <f>BB6-BB20</f>
        <v/>
      </c>
      <c r="BC22" s="151">
        <f>BC6-BC20</f>
        <v/>
      </c>
      <c r="BD22" s="151">
        <f>BD6-BD20</f>
        <v/>
      </c>
      <c r="BE22" s="151">
        <f>BE6-BE20</f>
        <v/>
      </c>
      <c r="BF22" s="151">
        <f>BF6-BF20</f>
        <v/>
      </c>
      <c r="BG22" s="151">
        <f>BG6-BG20</f>
        <v/>
      </c>
      <c r="BH22" s="151">
        <f>BH6-BH20</f>
        <v/>
      </c>
      <c r="BI22" s="151">
        <f>BI6-BI20</f>
        <v/>
      </c>
      <c r="BJ22" s="151">
        <f>BJ6-BJ20</f>
        <v/>
      </c>
      <c r="BL22" s="152">
        <f>C22+D22+E22+F22+G22+H22+I22+J22+K22+L22+M22+N22</f>
        <v/>
      </c>
      <c r="BM22" s="152">
        <f>O22+P22+Q22+R22+S22+T22+U22+V22+W22+X22+Y22+Z22</f>
        <v/>
      </c>
      <c r="BN22" s="152">
        <f>AA22+AB22+AC22+AD22+AE22+AF22+AG22+AH22+AI22+AJ22+AK22+AL22</f>
        <v/>
      </c>
      <c r="BO22" s="152">
        <f>AM22+AN22+AO22+AP22+AQ22+AR22+AS22+AT22+AU22+AV22+AW22+AX22</f>
        <v/>
      </c>
      <c r="BP22" s="152">
        <f>AY22+AZ22+BA22+BB22+BC22+BD22+BE22+BF22+BG22+BH22+BI22+BJ22</f>
        <v/>
      </c>
    </row>
    <row r="23" ht="15" customHeight="1" s="104">
      <c r="A23" s="218" t="inlineStr">
        <is>
          <t xml:space="preserve">    EBITDA Margin %</t>
        </is>
      </c>
      <c r="C23" s="192">
        <f>IF(C6=0,0,C22/C6)</f>
        <v/>
      </c>
      <c r="D23" s="192">
        <f>IF(D6=0,0,D22/D6)</f>
        <v/>
      </c>
      <c r="E23" s="192">
        <f>IF(E6=0,0,E22/E6)</f>
        <v/>
      </c>
      <c r="F23" s="192">
        <f>IF(F6=0,0,F22/F6)</f>
        <v/>
      </c>
      <c r="G23" s="192">
        <f>IF(G6=0,0,G22/G6)</f>
        <v/>
      </c>
      <c r="H23" s="192">
        <f>IF(H6=0,0,H22/H6)</f>
        <v/>
      </c>
      <c r="I23" s="192">
        <f>IF(I6=0,0,I22/I6)</f>
        <v/>
      </c>
      <c r="J23" s="192">
        <f>IF(J6=0,0,J22/J6)</f>
        <v/>
      </c>
      <c r="K23" s="192">
        <f>IF(K6=0,0,K22/K6)</f>
        <v/>
      </c>
      <c r="L23" s="192">
        <f>IF(L6=0,0,L22/L6)</f>
        <v/>
      </c>
      <c r="M23" s="192">
        <f>IF(M6=0,0,M22/M6)</f>
        <v/>
      </c>
      <c r="N23" s="192">
        <f>IF(N6=0,0,N22/N6)</f>
        <v/>
      </c>
      <c r="O23" s="192">
        <f>IF(O6=0,0,O22/O6)</f>
        <v/>
      </c>
      <c r="P23" s="192">
        <f>IF(P6=0,0,P22/P6)</f>
        <v/>
      </c>
      <c r="Q23" s="192">
        <f>IF(Q6=0,0,Q22/Q6)</f>
        <v/>
      </c>
      <c r="R23" s="192">
        <f>IF(R6=0,0,R22/R6)</f>
        <v/>
      </c>
      <c r="S23" s="192">
        <f>IF(S6=0,0,S22/S6)</f>
        <v/>
      </c>
      <c r="T23" s="192">
        <f>IF(T6=0,0,T22/T6)</f>
        <v/>
      </c>
      <c r="U23" s="192">
        <f>IF(U6=0,0,U22/U6)</f>
        <v/>
      </c>
      <c r="V23" s="192">
        <f>IF(V6=0,0,V22/V6)</f>
        <v/>
      </c>
      <c r="W23" s="192">
        <f>IF(W6=0,0,W22/W6)</f>
        <v/>
      </c>
      <c r="X23" s="192">
        <f>IF(X6=0,0,X22/X6)</f>
        <v/>
      </c>
      <c r="Y23" s="192">
        <f>IF(Y6=0,0,Y22/Y6)</f>
        <v/>
      </c>
      <c r="Z23" s="192">
        <f>IF(Z6=0,0,Z22/Z6)</f>
        <v/>
      </c>
      <c r="AA23" s="192">
        <f>IF(AA6=0,0,AA22/AA6)</f>
        <v/>
      </c>
      <c r="AB23" s="192">
        <f>IF(AB6=0,0,AB22/AB6)</f>
        <v/>
      </c>
      <c r="AC23" s="192">
        <f>IF(AC6=0,0,AC22/AC6)</f>
        <v/>
      </c>
      <c r="AD23" s="192">
        <f>IF(AD6=0,0,AD22/AD6)</f>
        <v/>
      </c>
      <c r="AE23" s="192">
        <f>IF(AE6=0,0,AE22/AE6)</f>
        <v/>
      </c>
      <c r="AF23" s="192">
        <f>IF(AF6=0,0,AF22/AF6)</f>
        <v/>
      </c>
      <c r="AG23" s="192">
        <f>IF(AG6=0,0,AG22/AG6)</f>
        <v/>
      </c>
      <c r="AH23" s="192">
        <f>IF(AH6=0,0,AH22/AH6)</f>
        <v/>
      </c>
      <c r="AI23" s="192">
        <f>IF(AI6=0,0,AI22/AI6)</f>
        <v/>
      </c>
      <c r="AJ23" s="192">
        <f>IF(AJ6=0,0,AJ22/AJ6)</f>
        <v/>
      </c>
      <c r="AK23" s="192">
        <f>IF(AK6=0,0,AK22/AK6)</f>
        <v/>
      </c>
      <c r="AL23" s="192">
        <f>IF(AL6=0,0,AL22/AL6)</f>
        <v/>
      </c>
      <c r="AM23" s="192">
        <f>IF(AM6=0,0,AM22/AM6)</f>
        <v/>
      </c>
      <c r="AN23" s="192">
        <f>IF(AN6=0,0,AN22/AN6)</f>
        <v/>
      </c>
      <c r="AO23" s="192">
        <f>IF(AO6=0,0,AO22/AO6)</f>
        <v/>
      </c>
      <c r="AP23" s="192">
        <f>IF(AP6=0,0,AP22/AP6)</f>
        <v/>
      </c>
      <c r="AQ23" s="192">
        <f>IF(AQ6=0,0,AQ22/AQ6)</f>
        <v/>
      </c>
      <c r="AR23" s="192">
        <f>IF(AR6=0,0,AR22/AR6)</f>
        <v/>
      </c>
      <c r="AS23" s="192">
        <f>IF(AS6=0,0,AS22/AS6)</f>
        <v/>
      </c>
      <c r="AT23" s="192">
        <f>IF(AT6=0,0,AT22/AT6)</f>
        <v/>
      </c>
      <c r="AU23" s="192">
        <f>IF(AU6=0,0,AU22/AU6)</f>
        <v/>
      </c>
      <c r="AV23" s="192">
        <f>IF(AV6=0,0,AV22/AV6)</f>
        <v/>
      </c>
      <c r="AW23" s="192">
        <f>IF(AW6=0,0,AW22/AW6)</f>
        <v/>
      </c>
      <c r="AX23" s="192">
        <f>IF(AX6=0,0,AX22/AX6)</f>
        <v/>
      </c>
      <c r="AY23" s="192">
        <f>IF(AY6=0,0,AY22/AY6)</f>
        <v/>
      </c>
      <c r="AZ23" s="192">
        <f>IF(AZ6=0,0,AZ22/AZ6)</f>
        <v/>
      </c>
      <c r="BA23" s="192">
        <f>IF(BA6=0,0,BA22/BA6)</f>
        <v/>
      </c>
      <c r="BB23" s="192">
        <f>IF(BB6=0,0,BB22/BB6)</f>
        <v/>
      </c>
      <c r="BC23" s="192">
        <f>IF(BC6=0,0,BC22/BC6)</f>
        <v/>
      </c>
      <c r="BD23" s="192">
        <f>IF(BD6=0,0,BD22/BD6)</f>
        <v/>
      </c>
      <c r="BE23" s="192">
        <f>IF(BE6=0,0,BE22/BE6)</f>
        <v/>
      </c>
      <c r="BF23" s="192">
        <f>IF(BF6=0,0,BF22/BF6)</f>
        <v/>
      </c>
      <c r="BG23" s="192">
        <f>IF(BG6=0,0,BG22/BG6)</f>
        <v/>
      </c>
      <c r="BH23" s="192">
        <f>IF(BH6=0,0,BH22/BH6)</f>
        <v/>
      </c>
      <c r="BI23" s="192">
        <f>IF(BI6=0,0,BI22/BI6)</f>
        <v/>
      </c>
      <c r="BJ23" s="192">
        <f>IF(BJ6=0,0,BJ22/BJ6)</f>
        <v/>
      </c>
      <c r="BL23" s="219">
        <f>IF((C6+D6+E6+F6+G6+H6+I6+J6+K6+L6+M6+N6)=0,0,(C22+D22+E22+F22+G22+H22+I22+J22+K22+L22+M22+N22)/(C6+D6+E6+F6+G6+H6+I6+J6+K6+L6+M6+N6))</f>
        <v/>
      </c>
      <c r="BM23" s="219">
        <f>IF((O6+P6+Q6+R6+S6+T6+U6+V6+W6+X6+Y6+Z6)=0,0,(O22+P22+Q22+R22+S22+T22+U22+V22+W22+X22+Y22+Z22)/(O6+P6+Q6+R6+S6+T6+U6+V6+W6+X6+Y6+Z6))</f>
        <v/>
      </c>
      <c r="BN23" s="219">
        <f>IF((AA6+AB6+AC6+AD6+AE6+AF6+AG6+AH6+AI6+AJ6+AK6+AL6)=0,0,(AA22+AB22+AC22+AD22+AE22+AF22+AG22+AH22+AI22+AJ22+AK22+AL22)/(AA6+AB6+AC6+AD6+AE6+AF6+AG6+AH6+AI6+AJ6+AK6+AL6))</f>
        <v/>
      </c>
      <c r="BO23" s="219">
        <f>IF((AM6+AN6+AO6+AP6+AQ6+AR6+AS6+AT6+AU6+AV6+AW6+AX6)=0,0,(AM22+AN22+AO22+AP22+AQ22+AR22+AS22+AT22+AU22+AV22+AW22+AX22)/(AM6+AN6+AO6+AP6+AQ6+AR6+AS6+AT6+AU6+AV6+AW6+AX6))</f>
        <v/>
      </c>
      <c r="BP23" s="219">
        <f>IF((AY6+AZ6+BA6+BB6+BC6+BD6+BE6+BF6+BG6+BH6+BI6+BJ6)=0,0,(AY22+AZ22+BA22+BB22+BC22+BD22+BE22+BF22+BG22+BH22+BI22+BJ22)/(AY6+AZ6+BA6+BB6+BC6+BD6+BE6+BF6+BG6+BH6+BI6+BJ6))</f>
        <v/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11.xml><?xml version="1.0" encoding="utf-8"?>
<worksheet xmlns="http://schemas.openxmlformats.org/spreadsheetml/2006/main">
  <sheetPr filterMode="0">
    <tabColor rgb="FF5B9BD5"/>
    <outlinePr summaryBelow="1" summaryRight="1"/>
    <pageSetUpPr fitToPage="0"/>
  </sheetPr>
  <dimension ref="A1:BP2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baseColWidth="8" defaultColWidth="8.71484375" defaultRowHeight="15" zeroHeight="0" outlineLevelRow="0"/>
  <cols>
    <col width="38" customWidth="1" style="103" min="1" max="1"/>
    <col width="9" customWidth="1" style="103" min="3" max="62"/>
    <col width="11" customWidth="1" style="103" min="64" max="68"/>
  </cols>
  <sheetData>
    <row r="1" ht="19.5" customHeight="1" s="104">
      <c r="A1" s="105" t="inlineStr">
        <is>
          <t>Add-On 3 – Monthly P&amp;L ($mm)</t>
        </is>
      </c>
    </row>
    <row r="3" ht="15" customHeight="1" s="104">
      <c r="A3" s="116" t="inlineStr">
        <is>
          <t>($mm)</t>
        </is>
      </c>
      <c r="C3" s="149" t="inlineStr">
        <is>
          <t>Oct-26</t>
        </is>
      </c>
      <c r="D3" s="149" t="inlineStr">
        <is>
          <t>Nov-26</t>
        </is>
      </c>
      <c r="E3" s="149" t="inlineStr">
        <is>
          <t>Dec-26</t>
        </is>
      </c>
      <c r="F3" s="149" t="inlineStr">
        <is>
          <t>Jan-27</t>
        </is>
      </c>
      <c r="G3" s="149" t="inlineStr">
        <is>
          <t>Feb-27</t>
        </is>
      </c>
      <c r="H3" s="149" t="inlineStr">
        <is>
          <t>Mar-27</t>
        </is>
      </c>
      <c r="I3" s="149" t="inlineStr">
        <is>
          <t>Apr-27</t>
        </is>
      </c>
      <c r="J3" s="149" t="inlineStr">
        <is>
          <t>May-27</t>
        </is>
      </c>
      <c r="K3" s="149" t="inlineStr">
        <is>
          <t>Jun-27</t>
        </is>
      </c>
      <c r="L3" s="149" t="inlineStr">
        <is>
          <t>Jul-27</t>
        </is>
      </c>
      <c r="M3" s="149" t="inlineStr">
        <is>
          <t>Aug-27</t>
        </is>
      </c>
      <c r="N3" s="149" t="inlineStr">
        <is>
          <t>Sep-27</t>
        </is>
      </c>
      <c r="O3" s="149" t="inlineStr">
        <is>
          <t>Oct-27</t>
        </is>
      </c>
      <c r="P3" s="149" t="inlineStr">
        <is>
          <t>Nov-27</t>
        </is>
      </c>
      <c r="Q3" s="149" t="inlineStr">
        <is>
          <t>Dec-27</t>
        </is>
      </c>
      <c r="R3" s="149" t="inlineStr">
        <is>
          <t>Jan-28</t>
        </is>
      </c>
      <c r="S3" s="149" t="inlineStr">
        <is>
          <t>Feb-28</t>
        </is>
      </c>
      <c r="T3" s="149" t="inlineStr">
        <is>
          <t>Mar-28</t>
        </is>
      </c>
      <c r="U3" s="149" t="inlineStr">
        <is>
          <t>Apr-28</t>
        </is>
      </c>
      <c r="V3" s="149" t="inlineStr">
        <is>
          <t>May-28</t>
        </is>
      </c>
      <c r="W3" s="149" t="inlineStr">
        <is>
          <t>Jun-28</t>
        </is>
      </c>
      <c r="X3" s="149" t="inlineStr">
        <is>
          <t>Jul-28</t>
        </is>
      </c>
      <c r="Y3" s="149" t="inlineStr">
        <is>
          <t>Aug-28</t>
        </is>
      </c>
      <c r="Z3" s="149" t="inlineStr">
        <is>
          <t>Sep-28</t>
        </is>
      </c>
      <c r="AA3" s="149" t="inlineStr">
        <is>
          <t>Oct-28</t>
        </is>
      </c>
      <c r="AB3" s="149" t="inlineStr">
        <is>
          <t>Nov-28</t>
        </is>
      </c>
      <c r="AC3" s="149" t="inlineStr">
        <is>
          <t>Dec-28</t>
        </is>
      </c>
      <c r="AD3" s="149" t="inlineStr">
        <is>
          <t>Jan-29</t>
        </is>
      </c>
      <c r="AE3" s="149" t="inlineStr">
        <is>
          <t>Feb-29</t>
        </is>
      </c>
      <c r="AF3" s="149" t="inlineStr">
        <is>
          <t>Mar-29</t>
        </is>
      </c>
      <c r="AG3" s="149" t="inlineStr">
        <is>
          <t>Apr-29</t>
        </is>
      </c>
      <c r="AH3" s="149" t="inlineStr">
        <is>
          <t>May-29</t>
        </is>
      </c>
      <c r="AI3" s="149" t="inlineStr">
        <is>
          <t>Jun-29</t>
        </is>
      </c>
      <c r="AJ3" s="149" t="inlineStr">
        <is>
          <t>Jul-29</t>
        </is>
      </c>
      <c r="AK3" s="149" t="inlineStr">
        <is>
          <t>Aug-29</t>
        </is>
      </c>
      <c r="AL3" s="149" t="inlineStr">
        <is>
          <t>Sep-29</t>
        </is>
      </c>
      <c r="AM3" s="149" t="inlineStr">
        <is>
          <t>Oct-29</t>
        </is>
      </c>
      <c r="AN3" s="149" t="inlineStr">
        <is>
          <t>Nov-29</t>
        </is>
      </c>
      <c r="AO3" s="149" t="inlineStr">
        <is>
          <t>Dec-29</t>
        </is>
      </c>
      <c r="AP3" s="149" t="inlineStr">
        <is>
          <t>Jan-30</t>
        </is>
      </c>
      <c r="AQ3" s="149" t="inlineStr">
        <is>
          <t>Feb-30</t>
        </is>
      </c>
      <c r="AR3" s="149" t="inlineStr">
        <is>
          <t>Mar-30</t>
        </is>
      </c>
      <c r="AS3" s="149" t="inlineStr">
        <is>
          <t>Apr-30</t>
        </is>
      </c>
      <c r="AT3" s="149" t="inlineStr">
        <is>
          <t>May-30</t>
        </is>
      </c>
      <c r="AU3" s="149" t="inlineStr">
        <is>
          <t>Jun-30</t>
        </is>
      </c>
      <c r="AV3" s="149" t="inlineStr">
        <is>
          <t>Jul-30</t>
        </is>
      </c>
      <c r="AW3" s="149" t="inlineStr">
        <is>
          <t>Aug-30</t>
        </is>
      </c>
      <c r="AX3" s="149" t="inlineStr">
        <is>
          <t>Sep-30</t>
        </is>
      </c>
      <c r="AY3" s="149" t="inlineStr">
        <is>
          <t>Oct-30</t>
        </is>
      </c>
      <c r="AZ3" s="149" t="inlineStr">
        <is>
          <t>Nov-30</t>
        </is>
      </c>
      <c r="BA3" s="149" t="inlineStr">
        <is>
          <t>Dec-30</t>
        </is>
      </c>
      <c r="BB3" s="149" t="inlineStr">
        <is>
          <t>Jan-31</t>
        </is>
      </c>
      <c r="BC3" s="149" t="inlineStr">
        <is>
          <t>Feb-31</t>
        </is>
      </c>
      <c r="BD3" s="149" t="inlineStr">
        <is>
          <t>Mar-31</t>
        </is>
      </c>
      <c r="BE3" s="149" t="inlineStr">
        <is>
          <t>Apr-31</t>
        </is>
      </c>
      <c r="BF3" s="149" t="inlineStr">
        <is>
          <t>May-31</t>
        </is>
      </c>
      <c r="BG3" s="149" t="inlineStr">
        <is>
          <t>Jun-31</t>
        </is>
      </c>
      <c r="BH3" s="149" t="inlineStr">
        <is>
          <t>Jul-31</t>
        </is>
      </c>
      <c r="BI3" s="149" t="inlineStr">
        <is>
          <t>Aug-31</t>
        </is>
      </c>
      <c r="BJ3" s="149" t="inlineStr">
        <is>
          <t>Sep-31</t>
        </is>
      </c>
      <c r="BL3" s="150" t="inlineStr">
        <is>
          <t>FY1</t>
        </is>
      </c>
      <c r="BM3" s="150" t="inlineStr">
        <is>
          <t>FY2</t>
        </is>
      </c>
      <c r="BN3" s="150" t="inlineStr">
        <is>
          <t>FY3</t>
        </is>
      </c>
      <c r="BO3" s="150" t="inlineStr">
        <is>
          <t>FY4</t>
        </is>
      </c>
      <c r="BP3" s="150" t="inlineStr">
        <is>
          <t>FY5</t>
        </is>
      </c>
    </row>
    <row r="4" ht="15" customHeight="1" s="104">
      <c r="A4" s="213" t="inlineStr">
        <is>
          <t>Active (1=Yes)</t>
        </is>
      </c>
      <c r="C4" s="220">
        <f>IF(Assumptions!B53="",0,IF(IFERROR(DATEVALUE(TEXT(Assumptions!B53,"MM/DD/YYYY")),0)&lt;=DATE(2026,10,31),1,0))</f>
        <v/>
      </c>
      <c r="D4" s="220">
        <f>IF(Assumptions!B53="",0,IF(IFERROR(DATEVALUE(TEXT(Assumptions!B53,"MM/DD/YYYY")),0)&lt;=DATE(2026,11,30),1,0))</f>
        <v/>
      </c>
      <c r="E4" s="220">
        <f>IF(Assumptions!B53="",0,IF(IFERROR(DATEVALUE(TEXT(Assumptions!B53,"MM/DD/YYYY")),0)&lt;=DATE(2026,12,31),1,0))</f>
        <v/>
      </c>
      <c r="F4" s="220">
        <f>IF(Assumptions!B53="",0,IF(IFERROR(DATEVALUE(TEXT(Assumptions!B53,"MM/DD/YYYY")),0)&lt;=DATE(2027,1,31),1,0))</f>
        <v/>
      </c>
      <c r="G4" s="220">
        <f>IF(Assumptions!B53="",0,IF(IFERROR(DATEVALUE(TEXT(Assumptions!B53,"MM/DD/YYYY")),0)&lt;=DATE(2027,2,28),1,0))</f>
        <v/>
      </c>
      <c r="H4" s="220">
        <f>IF(Assumptions!B53="",0,IF(IFERROR(DATEVALUE(TEXT(Assumptions!B53,"MM/DD/YYYY")),0)&lt;=DATE(2027,3,31),1,0))</f>
        <v/>
      </c>
      <c r="I4" s="220">
        <f>IF(Assumptions!B53="",0,IF(IFERROR(DATEVALUE(TEXT(Assumptions!B53,"MM/DD/YYYY")),0)&lt;=DATE(2027,4,30),1,0))</f>
        <v/>
      </c>
      <c r="J4" s="220">
        <f>IF(Assumptions!B53="",0,IF(IFERROR(DATEVALUE(TEXT(Assumptions!B53,"MM/DD/YYYY")),0)&lt;=DATE(2027,5,31),1,0))</f>
        <v/>
      </c>
      <c r="K4" s="220">
        <f>IF(Assumptions!B53="",0,IF(IFERROR(DATEVALUE(TEXT(Assumptions!B53,"MM/DD/YYYY")),0)&lt;=DATE(2027,6,30),1,0))</f>
        <v/>
      </c>
      <c r="L4" s="220">
        <f>IF(Assumptions!B53="",0,IF(IFERROR(DATEVALUE(TEXT(Assumptions!B53,"MM/DD/YYYY")),0)&lt;=DATE(2027,7,31),1,0))</f>
        <v/>
      </c>
      <c r="M4" s="220">
        <f>IF(Assumptions!B53="",0,IF(IFERROR(DATEVALUE(TEXT(Assumptions!B53,"MM/DD/YYYY")),0)&lt;=DATE(2027,8,31),1,0))</f>
        <v/>
      </c>
      <c r="N4" s="220">
        <f>IF(Assumptions!B53="",0,IF(IFERROR(DATEVALUE(TEXT(Assumptions!B53,"MM/DD/YYYY")),0)&lt;=DATE(2027,9,30),1,0))</f>
        <v/>
      </c>
      <c r="O4" s="220">
        <f>IF(Assumptions!B53="",0,IF(IFERROR(DATEVALUE(TEXT(Assumptions!B53,"MM/DD/YYYY")),0)&lt;=DATE(2027,10,31),1,0))</f>
        <v/>
      </c>
      <c r="P4" s="220">
        <f>IF(Assumptions!B53="",0,IF(IFERROR(DATEVALUE(TEXT(Assumptions!B53,"MM/DD/YYYY")),0)&lt;=DATE(2027,11,30),1,0))</f>
        <v/>
      </c>
      <c r="Q4" s="220">
        <f>IF(Assumptions!B53="",0,IF(IFERROR(DATEVALUE(TEXT(Assumptions!B53,"MM/DD/YYYY")),0)&lt;=DATE(2027,12,31),1,0))</f>
        <v/>
      </c>
      <c r="R4" s="220">
        <f>IF(Assumptions!B53="",0,IF(IFERROR(DATEVALUE(TEXT(Assumptions!B53,"MM/DD/YYYY")),0)&lt;=DATE(2028,1,31),1,0))</f>
        <v/>
      </c>
      <c r="S4" s="220">
        <f>IF(Assumptions!B53="",0,IF(IFERROR(DATEVALUE(TEXT(Assumptions!B53,"MM/DD/YYYY")),0)&lt;=DATE(2028,2,29),1,0))</f>
        <v/>
      </c>
      <c r="T4" s="220">
        <f>IF(Assumptions!B53="",0,IF(IFERROR(DATEVALUE(TEXT(Assumptions!B53,"MM/DD/YYYY")),0)&lt;=DATE(2028,3,31),1,0))</f>
        <v/>
      </c>
      <c r="U4" s="220">
        <f>IF(Assumptions!B53="",0,IF(IFERROR(DATEVALUE(TEXT(Assumptions!B53,"MM/DD/YYYY")),0)&lt;=DATE(2028,4,30),1,0))</f>
        <v/>
      </c>
      <c r="V4" s="220">
        <f>IF(Assumptions!B53="",0,IF(IFERROR(DATEVALUE(TEXT(Assumptions!B53,"MM/DD/YYYY")),0)&lt;=DATE(2028,5,31),1,0))</f>
        <v/>
      </c>
      <c r="W4" s="220">
        <f>IF(Assumptions!B53="",0,IF(IFERROR(DATEVALUE(TEXT(Assumptions!B53,"MM/DD/YYYY")),0)&lt;=DATE(2028,6,30),1,0))</f>
        <v/>
      </c>
      <c r="X4" s="220">
        <f>IF(Assumptions!B53="",0,IF(IFERROR(DATEVALUE(TEXT(Assumptions!B53,"MM/DD/YYYY")),0)&lt;=DATE(2028,7,31),1,0))</f>
        <v/>
      </c>
      <c r="Y4" s="220">
        <f>IF(Assumptions!B53="",0,IF(IFERROR(DATEVALUE(TEXT(Assumptions!B53,"MM/DD/YYYY")),0)&lt;=DATE(2028,8,31),1,0))</f>
        <v/>
      </c>
      <c r="Z4" s="220">
        <f>IF(Assumptions!B53="",0,IF(IFERROR(DATEVALUE(TEXT(Assumptions!B53,"MM/DD/YYYY")),0)&lt;=DATE(2028,9,30),1,0))</f>
        <v/>
      </c>
      <c r="AA4" s="220">
        <f>IF(Assumptions!B53="",0,IF(IFERROR(DATEVALUE(TEXT(Assumptions!B53,"MM/DD/YYYY")),0)&lt;=DATE(2028,10,31),1,0))</f>
        <v/>
      </c>
      <c r="AB4" s="220">
        <f>IF(Assumptions!B53="",0,IF(IFERROR(DATEVALUE(TEXT(Assumptions!B53,"MM/DD/YYYY")),0)&lt;=DATE(2028,11,30),1,0))</f>
        <v/>
      </c>
      <c r="AC4" s="220">
        <f>IF(Assumptions!B53="",0,IF(IFERROR(DATEVALUE(TEXT(Assumptions!B53,"MM/DD/YYYY")),0)&lt;=DATE(2028,12,31),1,0))</f>
        <v/>
      </c>
      <c r="AD4" s="220">
        <f>IF(Assumptions!B53="",0,IF(IFERROR(DATEVALUE(TEXT(Assumptions!B53,"MM/DD/YYYY")),0)&lt;=DATE(2029,1,31),1,0))</f>
        <v/>
      </c>
      <c r="AE4" s="220">
        <f>IF(Assumptions!B53="",0,IF(IFERROR(DATEVALUE(TEXT(Assumptions!B53,"MM/DD/YYYY")),0)&lt;=DATE(2029,2,28),1,0))</f>
        <v/>
      </c>
      <c r="AF4" s="220">
        <f>IF(Assumptions!B53="",0,IF(IFERROR(DATEVALUE(TEXT(Assumptions!B53,"MM/DD/YYYY")),0)&lt;=DATE(2029,3,31),1,0))</f>
        <v/>
      </c>
      <c r="AG4" s="220">
        <f>IF(Assumptions!B53="",0,IF(IFERROR(DATEVALUE(TEXT(Assumptions!B53,"MM/DD/YYYY")),0)&lt;=DATE(2029,4,30),1,0))</f>
        <v/>
      </c>
      <c r="AH4" s="220">
        <f>IF(Assumptions!B53="",0,IF(IFERROR(DATEVALUE(TEXT(Assumptions!B53,"MM/DD/YYYY")),0)&lt;=DATE(2029,5,31),1,0))</f>
        <v/>
      </c>
      <c r="AI4" s="220">
        <f>IF(Assumptions!B53="",0,IF(IFERROR(DATEVALUE(TEXT(Assumptions!B53,"MM/DD/YYYY")),0)&lt;=DATE(2029,6,30),1,0))</f>
        <v/>
      </c>
      <c r="AJ4" s="220">
        <f>IF(Assumptions!B53="",0,IF(IFERROR(DATEVALUE(TEXT(Assumptions!B53,"MM/DD/YYYY")),0)&lt;=DATE(2029,7,31),1,0))</f>
        <v/>
      </c>
      <c r="AK4" s="220">
        <f>IF(Assumptions!B53="",0,IF(IFERROR(DATEVALUE(TEXT(Assumptions!B53,"MM/DD/YYYY")),0)&lt;=DATE(2029,8,31),1,0))</f>
        <v/>
      </c>
      <c r="AL4" s="220">
        <f>IF(Assumptions!B53="",0,IF(IFERROR(DATEVALUE(TEXT(Assumptions!B53,"MM/DD/YYYY")),0)&lt;=DATE(2029,9,30),1,0))</f>
        <v/>
      </c>
      <c r="AM4" s="220">
        <f>IF(Assumptions!B53="",0,IF(IFERROR(DATEVALUE(TEXT(Assumptions!B53,"MM/DD/YYYY")),0)&lt;=DATE(2029,10,31),1,0))</f>
        <v/>
      </c>
      <c r="AN4" s="220">
        <f>IF(Assumptions!B53="",0,IF(IFERROR(DATEVALUE(TEXT(Assumptions!B53,"MM/DD/YYYY")),0)&lt;=DATE(2029,11,30),1,0))</f>
        <v/>
      </c>
      <c r="AO4" s="220">
        <f>IF(Assumptions!B53="",0,IF(IFERROR(DATEVALUE(TEXT(Assumptions!B53,"MM/DD/YYYY")),0)&lt;=DATE(2029,12,31),1,0))</f>
        <v/>
      </c>
      <c r="AP4" s="220">
        <f>IF(Assumptions!B53="",0,IF(IFERROR(DATEVALUE(TEXT(Assumptions!B53,"MM/DD/YYYY")),0)&lt;=DATE(2030,1,31),1,0))</f>
        <v/>
      </c>
      <c r="AQ4" s="220">
        <f>IF(Assumptions!B53="",0,IF(IFERROR(DATEVALUE(TEXT(Assumptions!B53,"MM/DD/YYYY")),0)&lt;=DATE(2030,2,28),1,0))</f>
        <v/>
      </c>
      <c r="AR4" s="220">
        <f>IF(Assumptions!B53="",0,IF(IFERROR(DATEVALUE(TEXT(Assumptions!B53,"MM/DD/YYYY")),0)&lt;=DATE(2030,3,31),1,0))</f>
        <v/>
      </c>
      <c r="AS4" s="220">
        <f>IF(Assumptions!B53="",0,IF(IFERROR(DATEVALUE(TEXT(Assumptions!B53,"MM/DD/YYYY")),0)&lt;=DATE(2030,4,30),1,0))</f>
        <v/>
      </c>
      <c r="AT4" s="220">
        <f>IF(Assumptions!B53="",0,IF(IFERROR(DATEVALUE(TEXT(Assumptions!B53,"MM/DD/YYYY")),0)&lt;=DATE(2030,5,31),1,0))</f>
        <v/>
      </c>
      <c r="AU4" s="220">
        <f>IF(Assumptions!B53="",0,IF(IFERROR(DATEVALUE(TEXT(Assumptions!B53,"MM/DD/YYYY")),0)&lt;=DATE(2030,6,30),1,0))</f>
        <v/>
      </c>
      <c r="AV4" s="220">
        <f>IF(Assumptions!B53="",0,IF(IFERROR(DATEVALUE(TEXT(Assumptions!B53,"MM/DD/YYYY")),0)&lt;=DATE(2030,7,31),1,0))</f>
        <v/>
      </c>
      <c r="AW4" s="220">
        <f>IF(Assumptions!B53="",0,IF(IFERROR(DATEVALUE(TEXT(Assumptions!B53,"MM/DD/YYYY")),0)&lt;=DATE(2030,8,31),1,0))</f>
        <v/>
      </c>
      <c r="AX4" s="220">
        <f>IF(Assumptions!B53="",0,IF(IFERROR(DATEVALUE(TEXT(Assumptions!B53,"MM/DD/YYYY")),0)&lt;=DATE(2030,9,30),1,0))</f>
        <v/>
      </c>
      <c r="AY4" s="220">
        <f>IF(Assumptions!B53="",0,IF(IFERROR(DATEVALUE(TEXT(Assumptions!B53,"MM/DD/YYYY")),0)&lt;=DATE(2030,10,31),1,0))</f>
        <v/>
      </c>
      <c r="AZ4" s="220">
        <f>IF(Assumptions!B53="",0,IF(IFERROR(DATEVALUE(TEXT(Assumptions!B53,"MM/DD/YYYY")),0)&lt;=DATE(2030,11,30),1,0))</f>
        <v/>
      </c>
      <c r="BA4" s="220">
        <f>IF(Assumptions!B53="",0,IF(IFERROR(DATEVALUE(TEXT(Assumptions!B53,"MM/DD/YYYY")),0)&lt;=DATE(2030,12,31),1,0))</f>
        <v/>
      </c>
      <c r="BB4" s="220">
        <f>IF(Assumptions!B53="",0,IF(IFERROR(DATEVALUE(TEXT(Assumptions!B53,"MM/DD/YYYY")),0)&lt;=DATE(2031,1,31),1,0))</f>
        <v/>
      </c>
      <c r="BC4" s="220">
        <f>IF(Assumptions!B53="",0,IF(IFERROR(DATEVALUE(TEXT(Assumptions!B53,"MM/DD/YYYY")),0)&lt;=DATE(2031,2,28),1,0))</f>
        <v/>
      </c>
      <c r="BD4" s="220">
        <f>IF(Assumptions!B53="",0,IF(IFERROR(DATEVALUE(TEXT(Assumptions!B53,"MM/DD/YYYY")),0)&lt;=DATE(2031,3,31),1,0))</f>
        <v/>
      </c>
      <c r="BE4" s="220">
        <f>IF(Assumptions!B53="",0,IF(IFERROR(DATEVALUE(TEXT(Assumptions!B53,"MM/DD/YYYY")),0)&lt;=DATE(2031,4,30),1,0))</f>
        <v/>
      </c>
      <c r="BF4" s="220">
        <f>IF(Assumptions!B53="",0,IF(IFERROR(DATEVALUE(TEXT(Assumptions!B53,"MM/DD/YYYY")),0)&lt;=DATE(2031,5,31),1,0))</f>
        <v/>
      </c>
      <c r="BG4" s="220">
        <f>IF(Assumptions!B53="",0,IF(IFERROR(DATEVALUE(TEXT(Assumptions!B53,"MM/DD/YYYY")),0)&lt;=DATE(2031,6,30),1,0))</f>
        <v/>
      </c>
      <c r="BH4" s="220">
        <f>IF(Assumptions!B53="",0,IF(IFERROR(DATEVALUE(TEXT(Assumptions!B53,"MM/DD/YYYY")),0)&lt;=DATE(2031,7,31),1,0))</f>
        <v/>
      </c>
      <c r="BI4" s="220">
        <f>IF(Assumptions!B53="",0,IF(IFERROR(DATEVALUE(TEXT(Assumptions!B53,"MM/DD/YYYY")),0)&lt;=DATE(2031,8,31),1,0))</f>
        <v/>
      </c>
      <c r="BJ4" s="220">
        <f>IF(Assumptions!B53="",0,IF(IFERROR(DATEVALUE(TEXT(Assumptions!B53,"MM/DD/YYYY")),0)&lt;=DATE(2031,9,30),1,0))</f>
        <v/>
      </c>
    </row>
    <row r="5" ht="15" customHeight="1" s="104">
      <c r="A5" s="106" t="inlineStr">
        <is>
          <t>REVENUE</t>
        </is>
      </c>
    </row>
    <row r="6" ht="15" customHeight="1" s="104">
      <c r="A6" s="116" t="inlineStr">
        <is>
          <t>Monthly Revenue</t>
        </is>
      </c>
      <c r="C6" s="151">
        <f>IF(C4=0,0,(Assumptions!C53/12))</f>
        <v/>
      </c>
      <c r="D6" s="151">
        <f>IF(D4=0,0,(Assumptions!C53/12)*POWER(1+Assumptions!B17,1/12))</f>
        <v/>
      </c>
      <c r="E6" s="151">
        <f>IF(E4=0,0,(Assumptions!C53/12)*POWER(1+Assumptions!B17,2/12))</f>
        <v/>
      </c>
      <c r="F6" s="151">
        <f>IF(F4=0,0,(Assumptions!C53/12)*POWER(1+Assumptions!B17,3/12))</f>
        <v/>
      </c>
      <c r="G6" s="151">
        <f>IF(G4=0,0,(Assumptions!C53/12)*POWER(1+Assumptions!B17,4/12))</f>
        <v/>
      </c>
      <c r="H6" s="151">
        <f>IF(H4=0,0,(Assumptions!C53/12)*POWER(1+Assumptions!B17,5/12))</f>
        <v/>
      </c>
      <c r="I6" s="151">
        <f>IF(I4=0,0,(Assumptions!C53/12)*POWER(1+Assumptions!B17,6/12))</f>
        <v/>
      </c>
      <c r="J6" s="151">
        <f>IF(J4=0,0,(Assumptions!C53/12)*POWER(1+Assumptions!B17,7/12))</f>
        <v/>
      </c>
      <c r="K6" s="151">
        <f>IF(K4=0,0,(Assumptions!C53/12)*POWER(1+Assumptions!B17,8/12))</f>
        <v/>
      </c>
      <c r="L6" s="151">
        <f>IF(L4=0,0,(Assumptions!C53/12)*POWER(1+Assumptions!B17,9/12))</f>
        <v/>
      </c>
      <c r="M6" s="151">
        <f>IF(M4=0,0,(Assumptions!C53/12)*POWER(1+Assumptions!B17,10/12))</f>
        <v/>
      </c>
      <c r="N6" s="151">
        <f>IF(N4=0,0,(Assumptions!C53/12)*POWER(1+Assumptions!B17,11/12))</f>
        <v/>
      </c>
      <c r="O6" s="151">
        <f>IF(O4=0,0,(Assumptions!C53*(1+Assumptions!B17)/12))</f>
        <v/>
      </c>
      <c r="P6" s="151">
        <f>IF(P4=0,0,(Assumptions!C53*(1+Assumptions!B17)/12)*POWER(1+Assumptions!B18,1/12))</f>
        <v/>
      </c>
      <c r="Q6" s="151">
        <f>IF(Q4=0,0,(Assumptions!C53*(1+Assumptions!B17)/12)*POWER(1+Assumptions!B18,2/12))</f>
        <v/>
      </c>
      <c r="R6" s="151">
        <f>IF(R4=0,0,(Assumptions!C53*(1+Assumptions!B17)/12)*POWER(1+Assumptions!B18,3/12))</f>
        <v/>
      </c>
      <c r="S6" s="151">
        <f>IF(S4=0,0,(Assumptions!C53*(1+Assumptions!B17)/12)*POWER(1+Assumptions!B18,4/12))</f>
        <v/>
      </c>
      <c r="T6" s="151">
        <f>IF(T4=0,0,(Assumptions!C53*(1+Assumptions!B17)/12)*POWER(1+Assumptions!B18,5/12))</f>
        <v/>
      </c>
      <c r="U6" s="151">
        <f>IF(U4=0,0,(Assumptions!C53*(1+Assumptions!B17)/12)*POWER(1+Assumptions!B18,6/12))</f>
        <v/>
      </c>
      <c r="V6" s="151">
        <f>IF(V4=0,0,(Assumptions!C53*(1+Assumptions!B17)/12)*POWER(1+Assumptions!B18,7/12))</f>
        <v/>
      </c>
      <c r="W6" s="151">
        <f>IF(W4=0,0,(Assumptions!C53*(1+Assumptions!B17)/12)*POWER(1+Assumptions!B18,8/12))</f>
        <v/>
      </c>
      <c r="X6" s="151">
        <f>IF(X4=0,0,(Assumptions!C53*(1+Assumptions!B17)/12)*POWER(1+Assumptions!B18,9/12))</f>
        <v/>
      </c>
      <c r="Y6" s="151">
        <f>IF(Y4=0,0,(Assumptions!C53*(1+Assumptions!B17)/12)*POWER(1+Assumptions!B18,10/12))</f>
        <v/>
      </c>
      <c r="Z6" s="151">
        <f>IF(Z4=0,0,(Assumptions!C53*(1+Assumptions!B17)/12)*POWER(1+Assumptions!B18,11/12))</f>
        <v/>
      </c>
      <c r="AA6" s="151">
        <f>IF(AA4=0,0,(Assumptions!C53*(1+Assumptions!B17)*(1+Assumptions!B18)/12))</f>
        <v/>
      </c>
      <c r="AB6" s="151">
        <f>IF(AB4=0,0,(Assumptions!C53*(1+Assumptions!B17)*(1+Assumptions!B18)/12)*POWER(1+Assumptions!B19,1/12))</f>
        <v/>
      </c>
      <c r="AC6" s="151">
        <f>IF(AC4=0,0,(Assumptions!C53*(1+Assumptions!B17)*(1+Assumptions!B18)/12)*POWER(1+Assumptions!B19,2/12))</f>
        <v/>
      </c>
      <c r="AD6" s="151">
        <f>IF(AD4=0,0,(Assumptions!C53*(1+Assumptions!B17)*(1+Assumptions!B18)/12)*POWER(1+Assumptions!B19,3/12))</f>
        <v/>
      </c>
      <c r="AE6" s="151">
        <f>IF(AE4=0,0,(Assumptions!C53*(1+Assumptions!B17)*(1+Assumptions!B18)/12)*POWER(1+Assumptions!B19,4/12))</f>
        <v/>
      </c>
      <c r="AF6" s="151">
        <f>IF(AF4=0,0,(Assumptions!C53*(1+Assumptions!B17)*(1+Assumptions!B18)/12)*POWER(1+Assumptions!B19,5/12))</f>
        <v/>
      </c>
      <c r="AG6" s="151">
        <f>IF(AG4=0,0,(Assumptions!C53*(1+Assumptions!B17)*(1+Assumptions!B18)/12)*POWER(1+Assumptions!B19,6/12))</f>
        <v/>
      </c>
      <c r="AH6" s="151">
        <f>IF(AH4=0,0,(Assumptions!C53*(1+Assumptions!B17)*(1+Assumptions!B18)/12)*POWER(1+Assumptions!B19,7/12))</f>
        <v/>
      </c>
      <c r="AI6" s="151">
        <f>IF(AI4=0,0,(Assumptions!C53*(1+Assumptions!B17)*(1+Assumptions!B18)/12)*POWER(1+Assumptions!B19,8/12))</f>
        <v/>
      </c>
      <c r="AJ6" s="151">
        <f>IF(AJ4=0,0,(Assumptions!C53*(1+Assumptions!B17)*(1+Assumptions!B18)/12)*POWER(1+Assumptions!B19,9/12))</f>
        <v/>
      </c>
      <c r="AK6" s="151">
        <f>IF(AK4=0,0,(Assumptions!C53*(1+Assumptions!B17)*(1+Assumptions!B18)/12)*POWER(1+Assumptions!B19,10/12))</f>
        <v/>
      </c>
      <c r="AL6" s="151">
        <f>IF(AL4=0,0,(Assumptions!C53*(1+Assumptions!B17)*(1+Assumptions!B18)/12)*POWER(1+Assumptions!B19,11/12))</f>
        <v/>
      </c>
      <c r="AM6" s="151">
        <f>IF(AM4=0,0,(Assumptions!C53*(1+Assumptions!B17)*(1+Assumptions!B18)*(1+Assumptions!B19)/12))</f>
        <v/>
      </c>
      <c r="AN6" s="151">
        <f>IF(AN4=0,0,(Assumptions!C53*(1+Assumptions!B17)*(1+Assumptions!B18)*(1+Assumptions!B19)/12)*POWER(1+Assumptions!B20,1/12))</f>
        <v/>
      </c>
      <c r="AO6" s="151">
        <f>IF(AO4=0,0,(Assumptions!C53*(1+Assumptions!B17)*(1+Assumptions!B18)*(1+Assumptions!B19)/12)*POWER(1+Assumptions!B20,2/12))</f>
        <v/>
      </c>
      <c r="AP6" s="151">
        <f>IF(AP4=0,0,(Assumptions!C53*(1+Assumptions!B17)*(1+Assumptions!B18)*(1+Assumptions!B19)/12)*POWER(1+Assumptions!B20,3/12))</f>
        <v/>
      </c>
      <c r="AQ6" s="151">
        <f>IF(AQ4=0,0,(Assumptions!C53*(1+Assumptions!B17)*(1+Assumptions!B18)*(1+Assumptions!B19)/12)*POWER(1+Assumptions!B20,4/12))</f>
        <v/>
      </c>
      <c r="AR6" s="151">
        <f>IF(AR4=0,0,(Assumptions!C53*(1+Assumptions!B17)*(1+Assumptions!B18)*(1+Assumptions!B19)/12)*POWER(1+Assumptions!B20,5/12))</f>
        <v/>
      </c>
      <c r="AS6" s="151">
        <f>IF(AS4=0,0,(Assumptions!C53*(1+Assumptions!B17)*(1+Assumptions!B18)*(1+Assumptions!B19)/12)*POWER(1+Assumptions!B20,6/12))</f>
        <v/>
      </c>
      <c r="AT6" s="151">
        <f>IF(AT4=0,0,(Assumptions!C53*(1+Assumptions!B17)*(1+Assumptions!B18)*(1+Assumptions!B19)/12)*POWER(1+Assumptions!B20,7/12))</f>
        <v/>
      </c>
      <c r="AU6" s="151">
        <f>IF(AU4=0,0,(Assumptions!C53*(1+Assumptions!B17)*(1+Assumptions!B18)*(1+Assumptions!B19)/12)*POWER(1+Assumptions!B20,8/12))</f>
        <v/>
      </c>
      <c r="AV6" s="151">
        <f>IF(AV4=0,0,(Assumptions!C53*(1+Assumptions!B17)*(1+Assumptions!B18)*(1+Assumptions!B19)/12)*POWER(1+Assumptions!B20,9/12))</f>
        <v/>
      </c>
      <c r="AW6" s="151">
        <f>IF(AW4=0,0,(Assumptions!C53*(1+Assumptions!B17)*(1+Assumptions!B18)*(1+Assumptions!B19)/12)*POWER(1+Assumptions!B20,10/12))</f>
        <v/>
      </c>
      <c r="AX6" s="151">
        <f>IF(AX4=0,0,(Assumptions!C53*(1+Assumptions!B17)*(1+Assumptions!B18)*(1+Assumptions!B19)/12)*POWER(1+Assumptions!B20,11/12))</f>
        <v/>
      </c>
      <c r="AY6" s="151">
        <f>IF(AY4=0,0,(Assumptions!C53*(1+Assumptions!B17)*(1+Assumptions!B18)*(1+Assumptions!B19)*(1+Assumptions!B20)/12))</f>
        <v/>
      </c>
      <c r="AZ6" s="151">
        <f>IF(AZ4=0,0,(Assumptions!C53*(1+Assumptions!B17)*(1+Assumptions!B18)*(1+Assumptions!B19)*(1+Assumptions!B20)/12)*POWER(1+Assumptions!B21,1/12))</f>
        <v/>
      </c>
      <c r="BA6" s="151">
        <f>IF(BA4=0,0,(Assumptions!C53*(1+Assumptions!B17)*(1+Assumptions!B18)*(1+Assumptions!B19)*(1+Assumptions!B20)/12)*POWER(1+Assumptions!B21,2/12))</f>
        <v/>
      </c>
      <c r="BB6" s="151">
        <f>IF(BB4=0,0,(Assumptions!C53*(1+Assumptions!B17)*(1+Assumptions!B18)*(1+Assumptions!B19)*(1+Assumptions!B20)/12)*POWER(1+Assumptions!B21,3/12))</f>
        <v/>
      </c>
      <c r="BC6" s="151">
        <f>IF(BC4=0,0,(Assumptions!C53*(1+Assumptions!B17)*(1+Assumptions!B18)*(1+Assumptions!B19)*(1+Assumptions!B20)/12)*POWER(1+Assumptions!B21,4/12))</f>
        <v/>
      </c>
      <c r="BD6" s="151">
        <f>IF(BD4=0,0,(Assumptions!C53*(1+Assumptions!B17)*(1+Assumptions!B18)*(1+Assumptions!B19)*(1+Assumptions!B20)/12)*POWER(1+Assumptions!B21,5/12))</f>
        <v/>
      </c>
      <c r="BE6" s="151">
        <f>IF(BE4=0,0,(Assumptions!C53*(1+Assumptions!B17)*(1+Assumptions!B18)*(1+Assumptions!B19)*(1+Assumptions!B20)/12)*POWER(1+Assumptions!B21,6/12))</f>
        <v/>
      </c>
      <c r="BF6" s="151">
        <f>IF(BF4=0,0,(Assumptions!C53*(1+Assumptions!B17)*(1+Assumptions!B18)*(1+Assumptions!B19)*(1+Assumptions!B20)/12)*POWER(1+Assumptions!B21,7/12))</f>
        <v/>
      </c>
      <c r="BG6" s="151">
        <f>IF(BG4=0,0,(Assumptions!C53*(1+Assumptions!B17)*(1+Assumptions!B18)*(1+Assumptions!B19)*(1+Assumptions!B20)/12)*POWER(1+Assumptions!B21,8/12))</f>
        <v/>
      </c>
      <c r="BH6" s="151">
        <f>IF(BH4=0,0,(Assumptions!C53*(1+Assumptions!B17)*(1+Assumptions!B18)*(1+Assumptions!B19)*(1+Assumptions!B20)/12)*POWER(1+Assumptions!B21,9/12))</f>
        <v/>
      </c>
      <c r="BI6" s="151">
        <f>IF(BI4=0,0,(Assumptions!C53*(1+Assumptions!B17)*(1+Assumptions!B18)*(1+Assumptions!B19)*(1+Assumptions!B20)/12)*POWER(1+Assumptions!B21,10/12))</f>
        <v/>
      </c>
      <c r="BJ6" s="151">
        <f>IF(BJ4=0,0,(Assumptions!C53*(1+Assumptions!B17)*(1+Assumptions!B18)*(1+Assumptions!B19)*(1+Assumptions!B20)/12)*POWER(1+Assumptions!B21,11/12))</f>
        <v/>
      </c>
      <c r="BL6" s="152">
        <f>C6+D6+E6+F6+G6+H6+I6+J6+K6+L6+M6+N6</f>
        <v/>
      </c>
      <c r="BM6" s="152">
        <f>O6+P6+Q6+R6+S6+T6+U6+V6+W6+X6+Y6+Z6</f>
        <v/>
      </c>
      <c r="BN6" s="152">
        <f>AA6+AB6+AC6+AD6+AE6+AF6+AG6+AH6+AI6+AJ6+AK6+AL6</f>
        <v/>
      </c>
      <c r="BO6" s="152">
        <f>AM6+AN6+AO6+AP6+AQ6+AR6+AS6+AT6+AU6+AV6+AW6+AX6</f>
        <v/>
      </c>
      <c r="BP6" s="152">
        <f>AY6+AZ6+BA6+BB6+BC6+BD6+BE6+BF6+BG6+BH6+BI6+BJ6</f>
        <v/>
      </c>
    </row>
    <row r="7" ht="15" customHeight="1" s="104">
      <c r="A7" s="106" t="inlineStr">
        <is>
          <t>OPERATING EXPENSES</t>
        </is>
      </c>
    </row>
    <row r="8" ht="15" customHeight="1" s="104">
      <c r="A8" s="107" t="inlineStr">
        <is>
          <t>Attorney Compensation</t>
        </is>
      </c>
      <c r="C8" s="156">
        <f>C6*(Assumptions!B24+Assumptions!B25*0)</f>
        <v/>
      </c>
      <c r="D8" s="156">
        <f>D6*(Assumptions!B24+Assumptions!B25*0)</f>
        <v/>
      </c>
      <c r="E8" s="156">
        <f>E6*(Assumptions!B24+Assumptions!B25*0)</f>
        <v/>
      </c>
      <c r="F8" s="156">
        <f>F6*(Assumptions!B24+Assumptions!B25*0)</f>
        <v/>
      </c>
      <c r="G8" s="156">
        <f>G6*(Assumptions!B24+Assumptions!B25*0)</f>
        <v/>
      </c>
      <c r="H8" s="156">
        <f>H6*(Assumptions!B24+Assumptions!B25*0)</f>
        <v/>
      </c>
      <c r="I8" s="156">
        <f>I6*(Assumptions!B24+Assumptions!B25*0)</f>
        <v/>
      </c>
      <c r="J8" s="156">
        <f>J6*(Assumptions!B24+Assumptions!B25*0)</f>
        <v/>
      </c>
      <c r="K8" s="156">
        <f>K6*(Assumptions!B24+Assumptions!B25*0)</f>
        <v/>
      </c>
      <c r="L8" s="156">
        <f>L6*(Assumptions!B24+Assumptions!B25*0)</f>
        <v/>
      </c>
      <c r="M8" s="156">
        <f>M6*(Assumptions!B24+Assumptions!B25*0)</f>
        <v/>
      </c>
      <c r="N8" s="156">
        <f>N6*(Assumptions!B24+Assumptions!B25*0)</f>
        <v/>
      </c>
      <c r="O8" s="156">
        <f>O6*(Assumptions!B24+Assumptions!B25*1)</f>
        <v/>
      </c>
      <c r="P8" s="156">
        <f>P6*(Assumptions!B24+Assumptions!B25*1)</f>
        <v/>
      </c>
      <c r="Q8" s="156">
        <f>Q6*(Assumptions!B24+Assumptions!B25*1)</f>
        <v/>
      </c>
      <c r="R8" s="156">
        <f>R6*(Assumptions!B24+Assumptions!B25*1)</f>
        <v/>
      </c>
      <c r="S8" s="156">
        <f>S6*(Assumptions!B24+Assumptions!B25*1)</f>
        <v/>
      </c>
      <c r="T8" s="156">
        <f>T6*(Assumptions!B24+Assumptions!B25*1)</f>
        <v/>
      </c>
      <c r="U8" s="156">
        <f>U6*(Assumptions!B24+Assumptions!B25*1)</f>
        <v/>
      </c>
      <c r="V8" s="156">
        <f>V6*(Assumptions!B24+Assumptions!B25*1)</f>
        <v/>
      </c>
      <c r="W8" s="156">
        <f>W6*(Assumptions!B24+Assumptions!B25*1)</f>
        <v/>
      </c>
      <c r="X8" s="156">
        <f>X6*(Assumptions!B24+Assumptions!B25*1)</f>
        <v/>
      </c>
      <c r="Y8" s="156">
        <f>Y6*(Assumptions!B24+Assumptions!B25*1)</f>
        <v/>
      </c>
      <c r="Z8" s="156">
        <f>Z6*(Assumptions!B24+Assumptions!B25*1)</f>
        <v/>
      </c>
      <c r="AA8" s="156">
        <f>AA6*(Assumptions!B24+Assumptions!B25*2)</f>
        <v/>
      </c>
      <c r="AB8" s="156">
        <f>AB6*(Assumptions!B24+Assumptions!B25*2)</f>
        <v/>
      </c>
      <c r="AC8" s="156">
        <f>AC6*(Assumptions!B24+Assumptions!B25*2)</f>
        <v/>
      </c>
      <c r="AD8" s="156">
        <f>AD6*(Assumptions!B24+Assumptions!B25*2)</f>
        <v/>
      </c>
      <c r="AE8" s="156">
        <f>AE6*(Assumptions!B24+Assumptions!B25*2)</f>
        <v/>
      </c>
      <c r="AF8" s="156">
        <f>AF6*(Assumptions!B24+Assumptions!B25*2)</f>
        <v/>
      </c>
      <c r="AG8" s="156">
        <f>AG6*(Assumptions!B24+Assumptions!B25*2)</f>
        <v/>
      </c>
      <c r="AH8" s="156">
        <f>AH6*(Assumptions!B24+Assumptions!B25*2)</f>
        <v/>
      </c>
      <c r="AI8" s="156">
        <f>AI6*(Assumptions!B24+Assumptions!B25*2)</f>
        <v/>
      </c>
      <c r="AJ8" s="156">
        <f>AJ6*(Assumptions!B24+Assumptions!B25*2)</f>
        <v/>
      </c>
      <c r="AK8" s="156">
        <f>AK6*(Assumptions!B24+Assumptions!B25*2)</f>
        <v/>
      </c>
      <c r="AL8" s="156">
        <f>AL6*(Assumptions!B24+Assumptions!B25*2)</f>
        <v/>
      </c>
      <c r="AM8" s="156">
        <f>AM6*(Assumptions!B24+Assumptions!B25*3)</f>
        <v/>
      </c>
      <c r="AN8" s="156">
        <f>AN6*(Assumptions!B24+Assumptions!B25*3)</f>
        <v/>
      </c>
      <c r="AO8" s="156">
        <f>AO6*(Assumptions!B24+Assumptions!B25*3)</f>
        <v/>
      </c>
      <c r="AP8" s="156">
        <f>AP6*(Assumptions!B24+Assumptions!B25*3)</f>
        <v/>
      </c>
      <c r="AQ8" s="156">
        <f>AQ6*(Assumptions!B24+Assumptions!B25*3)</f>
        <v/>
      </c>
      <c r="AR8" s="156">
        <f>AR6*(Assumptions!B24+Assumptions!B25*3)</f>
        <v/>
      </c>
      <c r="AS8" s="156">
        <f>AS6*(Assumptions!B24+Assumptions!B25*3)</f>
        <v/>
      </c>
      <c r="AT8" s="156">
        <f>AT6*(Assumptions!B24+Assumptions!B25*3)</f>
        <v/>
      </c>
      <c r="AU8" s="156">
        <f>AU6*(Assumptions!B24+Assumptions!B25*3)</f>
        <v/>
      </c>
      <c r="AV8" s="156">
        <f>AV6*(Assumptions!B24+Assumptions!B25*3)</f>
        <v/>
      </c>
      <c r="AW8" s="156">
        <f>AW6*(Assumptions!B24+Assumptions!B25*3)</f>
        <v/>
      </c>
      <c r="AX8" s="156">
        <f>AX6*(Assumptions!B24+Assumptions!B25*3)</f>
        <v/>
      </c>
      <c r="AY8" s="156">
        <f>AY6*(Assumptions!B24+Assumptions!B25*4)</f>
        <v/>
      </c>
      <c r="AZ8" s="156">
        <f>AZ6*(Assumptions!B24+Assumptions!B25*4)</f>
        <v/>
      </c>
      <c r="BA8" s="156">
        <f>BA6*(Assumptions!B24+Assumptions!B25*4)</f>
        <v/>
      </c>
      <c r="BB8" s="156">
        <f>BB6*(Assumptions!B24+Assumptions!B25*4)</f>
        <v/>
      </c>
      <c r="BC8" s="156">
        <f>BC6*(Assumptions!B24+Assumptions!B25*4)</f>
        <v/>
      </c>
      <c r="BD8" s="156">
        <f>BD6*(Assumptions!B24+Assumptions!B25*4)</f>
        <v/>
      </c>
      <c r="BE8" s="156">
        <f>BE6*(Assumptions!B24+Assumptions!B25*4)</f>
        <v/>
      </c>
      <c r="BF8" s="156">
        <f>BF6*(Assumptions!B24+Assumptions!B25*4)</f>
        <v/>
      </c>
      <c r="BG8" s="156">
        <f>BG6*(Assumptions!B24+Assumptions!B25*4)</f>
        <v/>
      </c>
      <c r="BH8" s="156">
        <f>BH6*(Assumptions!B24+Assumptions!B25*4)</f>
        <v/>
      </c>
      <c r="BI8" s="156">
        <f>BI6*(Assumptions!B24+Assumptions!B25*4)</f>
        <v/>
      </c>
      <c r="BJ8" s="156">
        <f>BJ6*(Assumptions!B24+Assumptions!B25*4)</f>
        <v/>
      </c>
      <c r="BL8" s="157">
        <f>C8+D8+E8+F8+G8+H8+I8+J8+K8+L8+M8+N8</f>
        <v/>
      </c>
      <c r="BM8" s="157">
        <f>O8+P8+Q8+R8+S8+T8+U8+V8+W8+X8+Y8+Z8</f>
        <v/>
      </c>
      <c r="BN8" s="157">
        <f>AA8+AB8+AC8+AD8+AE8+AF8+AG8+AH8+AI8+AJ8+AK8+AL8</f>
        <v/>
      </c>
      <c r="BO8" s="157">
        <f>AM8+AN8+AO8+AP8+AQ8+AR8+AS8+AT8+AU8+AV8+AW8+AX8</f>
        <v/>
      </c>
      <c r="BP8" s="157">
        <f>AY8+AZ8+BA8+BB8+BC8+BD8+BE8+BF8+BG8+BH8+BI8+BJ8</f>
        <v/>
      </c>
    </row>
    <row r="9" ht="15" customHeight="1" s="104">
      <c r="A9" s="215" t="inlineStr">
        <is>
          <t xml:space="preserve">    % of Revenue</t>
        </is>
      </c>
      <c r="C9" s="216">
        <f>IF(C6=0,0,C8/C6)</f>
        <v/>
      </c>
      <c r="D9" s="216">
        <f>IF(D6=0,0,D8/D6)</f>
        <v/>
      </c>
      <c r="E9" s="216">
        <f>IF(E6=0,0,E8/E6)</f>
        <v/>
      </c>
      <c r="F9" s="216">
        <f>IF(F6=0,0,F8/F6)</f>
        <v/>
      </c>
      <c r="G9" s="216">
        <f>IF(G6=0,0,G8/G6)</f>
        <v/>
      </c>
      <c r="H9" s="216">
        <f>IF(H6=0,0,H8/H6)</f>
        <v/>
      </c>
      <c r="I9" s="216">
        <f>IF(I6=0,0,I8/I6)</f>
        <v/>
      </c>
      <c r="J9" s="216">
        <f>IF(J6=0,0,J8/J6)</f>
        <v/>
      </c>
      <c r="K9" s="216">
        <f>IF(K6=0,0,K8/K6)</f>
        <v/>
      </c>
      <c r="L9" s="216">
        <f>IF(L6=0,0,L8/L6)</f>
        <v/>
      </c>
      <c r="M9" s="216">
        <f>IF(M6=0,0,M8/M6)</f>
        <v/>
      </c>
      <c r="N9" s="216">
        <f>IF(N6=0,0,N8/N6)</f>
        <v/>
      </c>
      <c r="O9" s="216">
        <f>IF(O6=0,0,O8/O6)</f>
        <v/>
      </c>
      <c r="P9" s="216">
        <f>IF(P6=0,0,P8/P6)</f>
        <v/>
      </c>
      <c r="Q9" s="216">
        <f>IF(Q6=0,0,Q8/Q6)</f>
        <v/>
      </c>
      <c r="R9" s="216">
        <f>IF(R6=0,0,R8/R6)</f>
        <v/>
      </c>
      <c r="S9" s="216">
        <f>IF(S6=0,0,S8/S6)</f>
        <v/>
      </c>
      <c r="T9" s="216">
        <f>IF(T6=0,0,T8/T6)</f>
        <v/>
      </c>
      <c r="U9" s="216">
        <f>IF(U6=0,0,U8/U6)</f>
        <v/>
      </c>
      <c r="V9" s="216">
        <f>IF(V6=0,0,V8/V6)</f>
        <v/>
      </c>
      <c r="W9" s="216">
        <f>IF(W6=0,0,W8/W6)</f>
        <v/>
      </c>
      <c r="X9" s="216">
        <f>IF(X6=0,0,X8/X6)</f>
        <v/>
      </c>
      <c r="Y9" s="216">
        <f>IF(Y6=0,0,Y8/Y6)</f>
        <v/>
      </c>
      <c r="Z9" s="216">
        <f>IF(Z6=0,0,Z8/Z6)</f>
        <v/>
      </c>
      <c r="AA9" s="216">
        <f>IF(AA6=0,0,AA8/AA6)</f>
        <v/>
      </c>
      <c r="AB9" s="216">
        <f>IF(AB6=0,0,AB8/AB6)</f>
        <v/>
      </c>
      <c r="AC9" s="216">
        <f>IF(AC6=0,0,AC8/AC6)</f>
        <v/>
      </c>
      <c r="AD9" s="216">
        <f>IF(AD6=0,0,AD8/AD6)</f>
        <v/>
      </c>
      <c r="AE9" s="216">
        <f>IF(AE6=0,0,AE8/AE6)</f>
        <v/>
      </c>
      <c r="AF9" s="216">
        <f>IF(AF6=0,0,AF8/AF6)</f>
        <v/>
      </c>
      <c r="AG9" s="216">
        <f>IF(AG6=0,0,AG8/AG6)</f>
        <v/>
      </c>
      <c r="AH9" s="216">
        <f>IF(AH6=0,0,AH8/AH6)</f>
        <v/>
      </c>
      <c r="AI9" s="216">
        <f>IF(AI6=0,0,AI8/AI6)</f>
        <v/>
      </c>
      <c r="AJ9" s="216">
        <f>IF(AJ6=0,0,AJ8/AJ6)</f>
        <v/>
      </c>
      <c r="AK9" s="216">
        <f>IF(AK6=0,0,AK8/AK6)</f>
        <v/>
      </c>
      <c r="AL9" s="216">
        <f>IF(AL6=0,0,AL8/AL6)</f>
        <v/>
      </c>
      <c r="AM9" s="216">
        <f>IF(AM6=0,0,AM8/AM6)</f>
        <v/>
      </c>
      <c r="AN9" s="216">
        <f>IF(AN6=0,0,AN8/AN6)</f>
        <v/>
      </c>
      <c r="AO9" s="216">
        <f>IF(AO6=0,0,AO8/AO6)</f>
        <v/>
      </c>
      <c r="AP9" s="216">
        <f>IF(AP6=0,0,AP8/AP6)</f>
        <v/>
      </c>
      <c r="AQ9" s="216">
        <f>IF(AQ6=0,0,AQ8/AQ6)</f>
        <v/>
      </c>
      <c r="AR9" s="216">
        <f>IF(AR6=0,0,AR8/AR6)</f>
        <v/>
      </c>
      <c r="AS9" s="216">
        <f>IF(AS6=0,0,AS8/AS6)</f>
        <v/>
      </c>
      <c r="AT9" s="216">
        <f>IF(AT6=0,0,AT8/AT6)</f>
        <v/>
      </c>
      <c r="AU9" s="216">
        <f>IF(AU6=0,0,AU8/AU6)</f>
        <v/>
      </c>
      <c r="AV9" s="216">
        <f>IF(AV6=0,0,AV8/AV6)</f>
        <v/>
      </c>
      <c r="AW9" s="216">
        <f>IF(AW6=0,0,AW8/AW6)</f>
        <v/>
      </c>
      <c r="AX9" s="216">
        <f>IF(AX6=0,0,AX8/AX6)</f>
        <v/>
      </c>
      <c r="AY9" s="216">
        <f>IF(AY6=0,0,AY8/AY6)</f>
        <v/>
      </c>
      <c r="AZ9" s="216">
        <f>IF(AZ6=0,0,AZ8/AZ6)</f>
        <v/>
      </c>
      <c r="BA9" s="216">
        <f>IF(BA6=0,0,BA8/BA6)</f>
        <v/>
      </c>
      <c r="BB9" s="216">
        <f>IF(BB6=0,0,BB8/BB6)</f>
        <v/>
      </c>
      <c r="BC9" s="216">
        <f>IF(BC6=0,0,BC8/BC6)</f>
        <v/>
      </c>
      <c r="BD9" s="216">
        <f>IF(BD6=0,0,BD8/BD6)</f>
        <v/>
      </c>
      <c r="BE9" s="216">
        <f>IF(BE6=0,0,BE8/BE6)</f>
        <v/>
      </c>
      <c r="BF9" s="216">
        <f>IF(BF6=0,0,BF8/BF6)</f>
        <v/>
      </c>
      <c r="BG9" s="216">
        <f>IF(BG6=0,0,BG8/BG6)</f>
        <v/>
      </c>
      <c r="BH9" s="216">
        <f>IF(BH6=0,0,BH8/BH6)</f>
        <v/>
      </c>
      <c r="BI9" s="216">
        <f>IF(BI6=0,0,BI8/BI6)</f>
        <v/>
      </c>
      <c r="BJ9" s="216">
        <f>IF(BJ6=0,0,BJ8/BJ6)</f>
        <v/>
      </c>
      <c r="BL9" s="217">
        <f>IF((C6+D6+E6+F6+G6+H6+I6+J6+K6+L6+M6+N6)=0,0,(C8+D8+E8+F8+G8+H8+I8+J8+K8+L8+M8+N8)/(C6+D6+E6+F6+G6+H6+I6+J6+K6+L6+M6+N6))</f>
        <v/>
      </c>
      <c r="BM9" s="217">
        <f>IF((O6+P6+Q6+R6+S6+T6+U6+V6+W6+X6+Y6+Z6)=0,0,(O8+P8+Q8+R8+S8+T8+U8+V8+W8+X8+Y8+Z8)/(O6+P6+Q6+R6+S6+T6+U6+V6+W6+X6+Y6+Z6))</f>
        <v/>
      </c>
      <c r="BN9" s="217">
        <f>IF((AA6+AB6+AC6+AD6+AE6+AF6+AG6+AH6+AI6+AJ6+AK6+AL6)=0,0,(AA8+AB8+AC8+AD8+AE8+AF8+AG8+AH8+AI8+AJ8+AK8+AL8)/(AA6+AB6+AC6+AD6+AE6+AF6+AG6+AH6+AI6+AJ6+AK6+AL6))</f>
        <v/>
      </c>
      <c r="BO9" s="217">
        <f>IF((AM6+AN6+AO6+AP6+AQ6+AR6+AS6+AT6+AU6+AV6+AW6+AX6)=0,0,(AM8+AN8+AO8+AP8+AQ8+AR8+AS8+AT8+AU8+AV8+AW8+AX8)/(AM6+AN6+AO6+AP6+AQ6+AR6+AS6+AT6+AU6+AV6+AW6+AX6))</f>
        <v/>
      </c>
      <c r="BP9" s="217">
        <f>IF((AY6+AZ6+BA6+BB6+BC6+BD6+BE6+BF6+BG6+BH6+BI6+BJ6)=0,0,(AY8+AZ8+BA8+BB8+BC8+BD8+BE8+BF8+BG8+BH8+BI8+BJ8)/(AY6+AZ6+BA6+BB6+BC6+BD6+BE6+BF6+BG6+BH6+BI6+BJ6))</f>
        <v/>
      </c>
    </row>
    <row r="10" ht="15" customHeight="1" s="104">
      <c r="A10" s="107" t="inlineStr">
        <is>
          <t>Staff Compensation</t>
        </is>
      </c>
      <c r="C10" s="156">
        <f>C6*(Assumptions!B26+Assumptions!B27*0)</f>
        <v/>
      </c>
      <c r="D10" s="156">
        <f>D6*(Assumptions!B26+Assumptions!B27*0)</f>
        <v/>
      </c>
      <c r="E10" s="156">
        <f>E6*(Assumptions!B26+Assumptions!B27*0)</f>
        <v/>
      </c>
      <c r="F10" s="156">
        <f>F6*(Assumptions!B26+Assumptions!B27*0)</f>
        <v/>
      </c>
      <c r="G10" s="156">
        <f>G6*(Assumptions!B26+Assumptions!B27*0)</f>
        <v/>
      </c>
      <c r="H10" s="156">
        <f>H6*(Assumptions!B26+Assumptions!B27*0)</f>
        <v/>
      </c>
      <c r="I10" s="156">
        <f>I6*(Assumptions!B26+Assumptions!B27*0)</f>
        <v/>
      </c>
      <c r="J10" s="156">
        <f>J6*(Assumptions!B26+Assumptions!B27*0)</f>
        <v/>
      </c>
      <c r="K10" s="156">
        <f>K6*(Assumptions!B26+Assumptions!B27*0)</f>
        <v/>
      </c>
      <c r="L10" s="156">
        <f>L6*(Assumptions!B26+Assumptions!B27*0)</f>
        <v/>
      </c>
      <c r="M10" s="156">
        <f>M6*(Assumptions!B26+Assumptions!B27*0)</f>
        <v/>
      </c>
      <c r="N10" s="156">
        <f>N6*(Assumptions!B26+Assumptions!B27*0)</f>
        <v/>
      </c>
      <c r="O10" s="156">
        <f>O6*(Assumptions!B26+Assumptions!B27*1)</f>
        <v/>
      </c>
      <c r="P10" s="156">
        <f>P6*(Assumptions!B26+Assumptions!B27*1)</f>
        <v/>
      </c>
      <c r="Q10" s="156">
        <f>Q6*(Assumptions!B26+Assumptions!B27*1)</f>
        <v/>
      </c>
      <c r="R10" s="156">
        <f>R6*(Assumptions!B26+Assumptions!B27*1)</f>
        <v/>
      </c>
      <c r="S10" s="156">
        <f>S6*(Assumptions!B26+Assumptions!B27*1)</f>
        <v/>
      </c>
      <c r="T10" s="156">
        <f>T6*(Assumptions!B26+Assumptions!B27*1)</f>
        <v/>
      </c>
      <c r="U10" s="156">
        <f>U6*(Assumptions!B26+Assumptions!B27*1)</f>
        <v/>
      </c>
      <c r="V10" s="156">
        <f>V6*(Assumptions!B26+Assumptions!B27*1)</f>
        <v/>
      </c>
      <c r="W10" s="156">
        <f>W6*(Assumptions!B26+Assumptions!B27*1)</f>
        <v/>
      </c>
      <c r="X10" s="156">
        <f>X6*(Assumptions!B26+Assumptions!B27*1)</f>
        <v/>
      </c>
      <c r="Y10" s="156">
        <f>Y6*(Assumptions!B26+Assumptions!B27*1)</f>
        <v/>
      </c>
      <c r="Z10" s="156">
        <f>Z6*(Assumptions!B26+Assumptions!B27*1)</f>
        <v/>
      </c>
      <c r="AA10" s="156">
        <f>AA6*(Assumptions!B26+Assumptions!B27*2)</f>
        <v/>
      </c>
      <c r="AB10" s="156">
        <f>AB6*(Assumptions!B26+Assumptions!B27*2)</f>
        <v/>
      </c>
      <c r="AC10" s="156">
        <f>AC6*(Assumptions!B26+Assumptions!B27*2)</f>
        <v/>
      </c>
      <c r="AD10" s="156">
        <f>AD6*(Assumptions!B26+Assumptions!B27*2)</f>
        <v/>
      </c>
      <c r="AE10" s="156">
        <f>AE6*(Assumptions!B26+Assumptions!B27*2)</f>
        <v/>
      </c>
      <c r="AF10" s="156">
        <f>AF6*(Assumptions!B26+Assumptions!B27*2)</f>
        <v/>
      </c>
      <c r="AG10" s="156">
        <f>AG6*(Assumptions!B26+Assumptions!B27*2)</f>
        <v/>
      </c>
      <c r="AH10" s="156">
        <f>AH6*(Assumptions!B26+Assumptions!B27*2)</f>
        <v/>
      </c>
      <c r="AI10" s="156">
        <f>AI6*(Assumptions!B26+Assumptions!B27*2)</f>
        <v/>
      </c>
      <c r="AJ10" s="156">
        <f>AJ6*(Assumptions!B26+Assumptions!B27*2)</f>
        <v/>
      </c>
      <c r="AK10" s="156">
        <f>AK6*(Assumptions!B26+Assumptions!B27*2)</f>
        <v/>
      </c>
      <c r="AL10" s="156">
        <f>AL6*(Assumptions!B26+Assumptions!B27*2)</f>
        <v/>
      </c>
      <c r="AM10" s="156">
        <f>AM6*(Assumptions!B26+Assumptions!B27*3)</f>
        <v/>
      </c>
      <c r="AN10" s="156">
        <f>AN6*(Assumptions!B26+Assumptions!B27*3)</f>
        <v/>
      </c>
      <c r="AO10" s="156">
        <f>AO6*(Assumptions!B26+Assumptions!B27*3)</f>
        <v/>
      </c>
      <c r="AP10" s="156">
        <f>AP6*(Assumptions!B26+Assumptions!B27*3)</f>
        <v/>
      </c>
      <c r="AQ10" s="156">
        <f>AQ6*(Assumptions!B26+Assumptions!B27*3)</f>
        <v/>
      </c>
      <c r="AR10" s="156">
        <f>AR6*(Assumptions!B26+Assumptions!B27*3)</f>
        <v/>
      </c>
      <c r="AS10" s="156">
        <f>AS6*(Assumptions!B26+Assumptions!B27*3)</f>
        <v/>
      </c>
      <c r="AT10" s="156">
        <f>AT6*(Assumptions!B26+Assumptions!B27*3)</f>
        <v/>
      </c>
      <c r="AU10" s="156">
        <f>AU6*(Assumptions!B26+Assumptions!B27*3)</f>
        <v/>
      </c>
      <c r="AV10" s="156">
        <f>AV6*(Assumptions!B26+Assumptions!B27*3)</f>
        <v/>
      </c>
      <c r="AW10" s="156">
        <f>AW6*(Assumptions!B26+Assumptions!B27*3)</f>
        <v/>
      </c>
      <c r="AX10" s="156">
        <f>AX6*(Assumptions!B26+Assumptions!B27*3)</f>
        <v/>
      </c>
      <c r="AY10" s="156">
        <f>AY6*(Assumptions!B26+Assumptions!B27*4)</f>
        <v/>
      </c>
      <c r="AZ10" s="156">
        <f>AZ6*(Assumptions!B26+Assumptions!B27*4)</f>
        <v/>
      </c>
      <c r="BA10" s="156">
        <f>BA6*(Assumptions!B26+Assumptions!B27*4)</f>
        <v/>
      </c>
      <c r="BB10" s="156">
        <f>BB6*(Assumptions!B26+Assumptions!B27*4)</f>
        <v/>
      </c>
      <c r="BC10" s="156">
        <f>BC6*(Assumptions!B26+Assumptions!B27*4)</f>
        <v/>
      </c>
      <c r="BD10" s="156">
        <f>BD6*(Assumptions!B26+Assumptions!B27*4)</f>
        <v/>
      </c>
      <c r="BE10" s="156">
        <f>BE6*(Assumptions!B26+Assumptions!B27*4)</f>
        <v/>
      </c>
      <c r="BF10" s="156">
        <f>BF6*(Assumptions!B26+Assumptions!B27*4)</f>
        <v/>
      </c>
      <c r="BG10" s="156">
        <f>BG6*(Assumptions!B26+Assumptions!B27*4)</f>
        <v/>
      </c>
      <c r="BH10" s="156">
        <f>BH6*(Assumptions!B26+Assumptions!B27*4)</f>
        <v/>
      </c>
      <c r="BI10" s="156">
        <f>BI6*(Assumptions!B26+Assumptions!B27*4)</f>
        <v/>
      </c>
      <c r="BJ10" s="156">
        <f>BJ6*(Assumptions!B26+Assumptions!B27*4)</f>
        <v/>
      </c>
      <c r="BL10" s="157">
        <f>C10+D10+E10+F10+G10+H10+I10+J10+K10+L10+M10+N10</f>
        <v/>
      </c>
      <c r="BM10" s="157">
        <f>O10+P10+Q10+R10+S10+T10+U10+V10+W10+X10+Y10+Z10</f>
        <v/>
      </c>
      <c r="BN10" s="157">
        <f>AA10+AB10+AC10+AD10+AE10+AF10+AG10+AH10+AI10+AJ10+AK10+AL10</f>
        <v/>
      </c>
      <c r="BO10" s="157">
        <f>AM10+AN10+AO10+AP10+AQ10+AR10+AS10+AT10+AU10+AV10+AW10+AX10</f>
        <v/>
      </c>
      <c r="BP10" s="157">
        <f>AY10+AZ10+BA10+BB10+BC10+BD10+BE10+BF10+BG10+BH10+BI10+BJ10</f>
        <v/>
      </c>
    </row>
    <row r="11" ht="15" customHeight="1" s="104">
      <c r="A11" s="215" t="inlineStr">
        <is>
          <t xml:space="preserve">    % of Revenue</t>
        </is>
      </c>
      <c r="C11" s="216">
        <f>IF(C6=0,0,C10/C6)</f>
        <v/>
      </c>
      <c r="D11" s="216">
        <f>IF(D6=0,0,D10/D6)</f>
        <v/>
      </c>
      <c r="E11" s="216">
        <f>IF(E6=0,0,E10/E6)</f>
        <v/>
      </c>
      <c r="F11" s="216">
        <f>IF(F6=0,0,F10/F6)</f>
        <v/>
      </c>
      <c r="G11" s="216">
        <f>IF(G6=0,0,G10/G6)</f>
        <v/>
      </c>
      <c r="H11" s="216">
        <f>IF(H6=0,0,H10/H6)</f>
        <v/>
      </c>
      <c r="I11" s="216">
        <f>IF(I6=0,0,I10/I6)</f>
        <v/>
      </c>
      <c r="J11" s="216">
        <f>IF(J6=0,0,J10/J6)</f>
        <v/>
      </c>
      <c r="K11" s="216">
        <f>IF(K6=0,0,K10/K6)</f>
        <v/>
      </c>
      <c r="L11" s="216">
        <f>IF(L6=0,0,L10/L6)</f>
        <v/>
      </c>
      <c r="M11" s="216">
        <f>IF(M6=0,0,M10/M6)</f>
        <v/>
      </c>
      <c r="N11" s="216">
        <f>IF(N6=0,0,N10/N6)</f>
        <v/>
      </c>
      <c r="O11" s="216">
        <f>IF(O6=0,0,O10/O6)</f>
        <v/>
      </c>
      <c r="P11" s="216">
        <f>IF(P6=0,0,P10/P6)</f>
        <v/>
      </c>
      <c r="Q11" s="216">
        <f>IF(Q6=0,0,Q10/Q6)</f>
        <v/>
      </c>
      <c r="R11" s="216">
        <f>IF(R6=0,0,R10/R6)</f>
        <v/>
      </c>
      <c r="S11" s="216">
        <f>IF(S6=0,0,S10/S6)</f>
        <v/>
      </c>
      <c r="T11" s="216">
        <f>IF(T6=0,0,T10/T6)</f>
        <v/>
      </c>
      <c r="U11" s="216">
        <f>IF(U6=0,0,U10/U6)</f>
        <v/>
      </c>
      <c r="V11" s="216">
        <f>IF(V6=0,0,V10/V6)</f>
        <v/>
      </c>
      <c r="W11" s="216">
        <f>IF(W6=0,0,W10/W6)</f>
        <v/>
      </c>
      <c r="X11" s="216">
        <f>IF(X6=0,0,X10/X6)</f>
        <v/>
      </c>
      <c r="Y11" s="216">
        <f>IF(Y6=0,0,Y10/Y6)</f>
        <v/>
      </c>
      <c r="Z11" s="216">
        <f>IF(Z6=0,0,Z10/Z6)</f>
        <v/>
      </c>
      <c r="AA11" s="216">
        <f>IF(AA6=0,0,AA10/AA6)</f>
        <v/>
      </c>
      <c r="AB11" s="216">
        <f>IF(AB6=0,0,AB10/AB6)</f>
        <v/>
      </c>
      <c r="AC11" s="216">
        <f>IF(AC6=0,0,AC10/AC6)</f>
        <v/>
      </c>
      <c r="AD11" s="216">
        <f>IF(AD6=0,0,AD10/AD6)</f>
        <v/>
      </c>
      <c r="AE11" s="216">
        <f>IF(AE6=0,0,AE10/AE6)</f>
        <v/>
      </c>
      <c r="AF11" s="216">
        <f>IF(AF6=0,0,AF10/AF6)</f>
        <v/>
      </c>
      <c r="AG11" s="216">
        <f>IF(AG6=0,0,AG10/AG6)</f>
        <v/>
      </c>
      <c r="AH11" s="216">
        <f>IF(AH6=0,0,AH10/AH6)</f>
        <v/>
      </c>
      <c r="AI11" s="216">
        <f>IF(AI6=0,0,AI10/AI6)</f>
        <v/>
      </c>
      <c r="AJ11" s="216">
        <f>IF(AJ6=0,0,AJ10/AJ6)</f>
        <v/>
      </c>
      <c r="AK11" s="216">
        <f>IF(AK6=0,0,AK10/AK6)</f>
        <v/>
      </c>
      <c r="AL11" s="216">
        <f>IF(AL6=0,0,AL10/AL6)</f>
        <v/>
      </c>
      <c r="AM11" s="216">
        <f>IF(AM6=0,0,AM10/AM6)</f>
        <v/>
      </c>
      <c r="AN11" s="216">
        <f>IF(AN6=0,0,AN10/AN6)</f>
        <v/>
      </c>
      <c r="AO11" s="216">
        <f>IF(AO6=0,0,AO10/AO6)</f>
        <v/>
      </c>
      <c r="AP11" s="216">
        <f>IF(AP6=0,0,AP10/AP6)</f>
        <v/>
      </c>
      <c r="AQ11" s="216">
        <f>IF(AQ6=0,0,AQ10/AQ6)</f>
        <v/>
      </c>
      <c r="AR11" s="216">
        <f>IF(AR6=0,0,AR10/AR6)</f>
        <v/>
      </c>
      <c r="AS11" s="216">
        <f>IF(AS6=0,0,AS10/AS6)</f>
        <v/>
      </c>
      <c r="AT11" s="216">
        <f>IF(AT6=0,0,AT10/AT6)</f>
        <v/>
      </c>
      <c r="AU11" s="216">
        <f>IF(AU6=0,0,AU10/AU6)</f>
        <v/>
      </c>
      <c r="AV11" s="216">
        <f>IF(AV6=0,0,AV10/AV6)</f>
        <v/>
      </c>
      <c r="AW11" s="216">
        <f>IF(AW6=0,0,AW10/AW6)</f>
        <v/>
      </c>
      <c r="AX11" s="216">
        <f>IF(AX6=0,0,AX10/AX6)</f>
        <v/>
      </c>
      <c r="AY11" s="216">
        <f>IF(AY6=0,0,AY10/AY6)</f>
        <v/>
      </c>
      <c r="AZ11" s="216">
        <f>IF(AZ6=0,0,AZ10/AZ6)</f>
        <v/>
      </c>
      <c r="BA11" s="216">
        <f>IF(BA6=0,0,BA10/BA6)</f>
        <v/>
      </c>
      <c r="BB11" s="216">
        <f>IF(BB6=0,0,BB10/BB6)</f>
        <v/>
      </c>
      <c r="BC11" s="216">
        <f>IF(BC6=0,0,BC10/BC6)</f>
        <v/>
      </c>
      <c r="BD11" s="216">
        <f>IF(BD6=0,0,BD10/BD6)</f>
        <v/>
      </c>
      <c r="BE11" s="216">
        <f>IF(BE6=0,0,BE10/BE6)</f>
        <v/>
      </c>
      <c r="BF11" s="216">
        <f>IF(BF6=0,0,BF10/BF6)</f>
        <v/>
      </c>
      <c r="BG11" s="216">
        <f>IF(BG6=0,0,BG10/BG6)</f>
        <v/>
      </c>
      <c r="BH11" s="216">
        <f>IF(BH6=0,0,BH10/BH6)</f>
        <v/>
      </c>
      <c r="BI11" s="216">
        <f>IF(BI6=0,0,BI10/BI6)</f>
        <v/>
      </c>
      <c r="BJ11" s="216">
        <f>IF(BJ6=0,0,BJ10/BJ6)</f>
        <v/>
      </c>
      <c r="BL11" s="217">
        <f>IF((C6+D6+E6+F6+G6+H6+I6+J6+K6+L6+M6+N6)=0,0,(C10+D10+E10+F10+G10+H10+I10+J10+K10+L10+M10+N10)/(C6+D6+E6+F6+G6+H6+I6+J6+K6+L6+M6+N6))</f>
        <v/>
      </c>
      <c r="BM11" s="217">
        <f>IF((O6+P6+Q6+R6+S6+T6+U6+V6+W6+X6+Y6+Z6)=0,0,(O10+P10+Q10+R10+S10+T10+U10+V10+W10+X10+Y10+Z10)/(O6+P6+Q6+R6+S6+T6+U6+V6+W6+X6+Y6+Z6))</f>
        <v/>
      </c>
      <c r="BN11" s="217">
        <f>IF((AA6+AB6+AC6+AD6+AE6+AF6+AG6+AH6+AI6+AJ6+AK6+AL6)=0,0,(AA10+AB10+AC10+AD10+AE10+AF10+AG10+AH10+AI10+AJ10+AK10+AL10)/(AA6+AB6+AC6+AD6+AE6+AF6+AG6+AH6+AI6+AJ6+AK6+AL6))</f>
        <v/>
      </c>
      <c r="BO11" s="217">
        <f>IF((AM6+AN6+AO6+AP6+AQ6+AR6+AS6+AT6+AU6+AV6+AW6+AX6)=0,0,(AM10+AN10+AO10+AP10+AQ10+AR10+AS10+AT10+AU10+AV10+AW10+AX10)/(AM6+AN6+AO6+AP6+AQ6+AR6+AS6+AT6+AU6+AV6+AW6+AX6))</f>
        <v/>
      </c>
      <c r="BP11" s="217">
        <f>IF((AY6+AZ6+BA6+BB6+BC6+BD6+BE6+BF6+BG6+BH6+BI6+BJ6)=0,0,(AY10+AZ10+BA10+BB10+BC10+BD10+BE10+BF10+BG10+BH10+BI10+BJ10)/(AY6+AZ6+BA6+BB6+BC6+BD6+BE6+BF6+BG6+BH6+BI6+BJ6))</f>
        <v/>
      </c>
    </row>
    <row r="12" ht="15" customHeight="1" s="104">
      <c r="A12" s="107" t="inlineStr">
        <is>
          <t>Occupancy &amp; Facilities</t>
        </is>
      </c>
      <c r="C12" s="156">
        <f>C6*(Assumptions!B28+Assumptions!B29*0)</f>
        <v/>
      </c>
      <c r="D12" s="156">
        <f>D6*(Assumptions!B28+Assumptions!B29*0)</f>
        <v/>
      </c>
      <c r="E12" s="156">
        <f>E6*(Assumptions!B28+Assumptions!B29*0)</f>
        <v/>
      </c>
      <c r="F12" s="156">
        <f>F6*(Assumptions!B28+Assumptions!B29*0)</f>
        <v/>
      </c>
      <c r="G12" s="156">
        <f>G6*(Assumptions!B28+Assumptions!B29*0)</f>
        <v/>
      </c>
      <c r="H12" s="156">
        <f>H6*(Assumptions!B28+Assumptions!B29*0)</f>
        <v/>
      </c>
      <c r="I12" s="156">
        <f>I6*(Assumptions!B28+Assumptions!B29*0)</f>
        <v/>
      </c>
      <c r="J12" s="156">
        <f>J6*(Assumptions!B28+Assumptions!B29*0)</f>
        <v/>
      </c>
      <c r="K12" s="156">
        <f>K6*(Assumptions!B28+Assumptions!B29*0)</f>
        <v/>
      </c>
      <c r="L12" s="156">
        <f>L6*(Assumptions!B28+Assumptions!B29*0)</f>
        <v/>
      </c>
      <c r="M12" s="156">
        <f>M6*(Assumptions!B28+Assumptions!B29*0)</f>
        <v/>
      </c>
      <c r="N12" s="156">
        <f>N6*(Assumptions!B28+Assumptions!B29*0)</f>
        <v/>
      </c>
      <c r="O12" s="156">
        <f>O6*(Assumptions!B28+Assumptions!B29*1)</f>
        <v/>
      </c>
      <c r="P12" s="156">
        <f>P6*(Assumptions!B28+Assumptions!B29*1)</f>
        <v/>
      </c>
      <c r="Q12" s="156">
        <f>Q6*(Assumptions!B28+Assumptions!B29*1)</f>
        <v/>
      </c>
      <c r="R12" s="156">
        <f>R6*(Assumptions!B28+Assumptions!B29*1)</f>
        <v/>
      </c>
      <c r="S12" s="156">
        <f>S6*(Assumptions!B28+Assumptions!B29*1)</f>
        <v/>
      </c>
      <c r="T12" s="156">
        <f>T6*(Assumptions!B28+Assumptions!B29*1)</f>
        <v/>
      </c>
      <c r="U12" s="156">
        <f>U6*(Assumptions!B28+Assumptions!B29*1)</f>
        <v/>
      </c>
      <c r="V12" s="156">
        <f>V6*(Assumptions!B28+Assumptions!B29*1)</f>
        <v/>
      </c>
      <c r="W12" s="156">
        <f>W6*(Assumptions!B28+Assumptions!B29*1)</f>
        <v/>
      </c>
      <c r="X12" s="156">
        <f>X6*(Assumptions!B28+Assumptions!B29*1)</f>
        <v/>
      </c>
      <c r="Y12" s="156">
        <f>Y6*(Assumptions!B28+Assumptions!B29*1)</f>
        <v/>
      </c>
      <c r="Z12" s="156">
        <f>Z6*(Assumptions!B28+Assumptions!B29*1)</f>
        <v/>
      </c>
      <c r="AA12" s="156">
        <f>AA6*(Assumptions!B28+Assumptions!B29*2)</f>
        <v/>
      </c>
      <c r="AB12" s="156">
        <f>AB6*(Assumptions!B28+Assumptions!B29*2)</f>
        <v/>
      </c>
      <c r="AC12" s="156">
        <f>AC6*(Assumptions!B28+Assumptions!B29*2)</f>
        <v/>
      </c>
      <c r="AD12" s="156">
        <f>AD6*(Assumptions!B28+Assumptions!B29*2)</f>
        <v/>
      </c>
      <c r="AE12" s="156">
        <f>AE6*(Assumptions!B28+Assumptions!B29*2)</f>
        <v/>
      </c>
      <c r="AF12" s="156">
        <f>AF6*(Assumptions!B28+Assumptions!B29*2)</f>
        <v/>
      </c>
      <c r="AG12" s="156">
        <f>AG6*(Assumptions!B28+Assumptions!B29*2)</f>
        <v/>
      </c>
      <c r="AH12" s="156">
        <f>AH6*(Assumptions!B28+Assumptions!B29*2)</f>
        <v/>
      </c>
      <c r="AI12" s="156">
        <f>AI6*(Assumptions!B28+Assumptions!B29*2)</f>
        <v/>
      </c>
      <c r="AJ12" s="156">
        <f>AJ6*(Assumptions!B28+Assumptions!B29*2)</f>
        <v/>
      </c>
      <c r="AK12" s="156">
        <f>AK6*(Assumptions!B28+Assumptions!B29*2)</f>
        <v/>
      </c>
      <c r="AL12" s="156">
        <f>AL6*(Assumptions!B28+Assumptions!B29*2)</f>
        <v/>
      </c>
      <c r="AM12" s="156">
        <f>AM6*(Assumptions!B28+Assumptions!B29*3)</f>
        <v/>
      </c>
      <c r="AN12" s="156">
        <f>AN6*(Assumptions!B28+Assumptions!B29*3)</f>
        <v/>
      </c>
      <c r="AO12" s="156">
        <f>AO6*(Assumptions!B28+Assumptions!B29*3)</f>
        <v/>
      </c>
      <c r="AP12" s="156">
        <f>AP6*(Assumptions!B28+Assumptions!B29*3)</f>
        <v/>
      </c>
      <c r="AQ12" s="156">
        <f>AQ6*(Assumptions!B28+Assumptions!B29*3)</f>
        <v/>
      </c>
      <c r="AR12" s="156">
        <f>AR6*(Assumptions!B28+Assumptions!B29*3)</f>
        <v/>
      </c>
      <c r="AS12" s="156">
        <f>AS6*(Assumptions!B28+Assumptions!B29*3)</f>
        <v/>
      </c>
      <c r="AT12" s="156">
        <f>AT6*(Assumptions!B28+Assumptions!B29*3)</f>
        <v/>
      </c>
      <c r="AU12" s="156">
        <f>AU6*(Assumptions!B28+Assumptions!B29*3)</f>
        <v/>
      </c>
      <c r="AV12" s="156">
        <f>AV6*(Assumptions!B28+Assumptions!B29*3)</f>
        <v/>
      </c>
      <c r="AW12" s="156">
        <f>AW6*(Assumptions!B28+Assumptions!B29*3)</f>
        <v/>
      </c>
      <c r="AX12" s="156">
        <f>AX6*(Assumptions!B28+Assumptions!B29*3)</f>
        <v/>
      </c>
      <c r="AY12" s="156">
        <f>AY6*(Assumptions!B28+Assumptions!B29*4)</f>
        <v/>
      </c>
      <c r="AZ12" s="156">
        <f>AZ6*(Assumptions!B28+Assumptions!B29*4)</f>
        <v/>
      </c>
      <c r="BA12" s="156">
        <f>BA6*(Assumptions!B28+Assumptions!B29*4)</f>
        <v/>
      </c>
      <c r="BB12" s="156">
        <f>BB6*(Assumptions!B28+Assumptions!B29*4)</f>
        <v/>
      </c>
      <c r="BC12" s="156">
        <f>BC6*(Assumptions!B28+Assumptions!B29*4)</f>
        <v/>
      </c>
      <c r="BD12" s="156">
        <f>BD6*(Assumptions!B28+Assumptions!B29*4)</f>
        <v/>
      </c>
      <c r="BE12" s="156">
        <f>BE6*(Assumptions!B28+Assumptions!B29*4)</f>
        <v/>
      </c>
      <c r="BF12" s="156">
        <f>BF6*(Assumptions!B28+Assumptions!B29*4)</f>
        <v/>
      </c>
      <c r="BG12" s="156">
        <f>BG6*(Assumptions!B28+Assumptions!B29*4)</f>
        <v/>
      </c>
      <c r="BH12" s="156">
        <f>BH6*(Assumptions!B28+Assumptions!B29*4)</f>
        <v/>
      </c>
      <c r="BI12" s="156">
        <f>BI6*(Assumptions!B28+Assumptions!B29*4)</f>
        <v/>
      </c>
      <c r="BJ12" s="156">
        <f>BJ6*(Assumptions!B28+Assumptions!B29*4)</f>
        <v/>
      </c>
      <c r="BL12" s="157">
        <f>C12+D12+E12+F12+G12+H12+I12+J12+K12+L12+M12+N12</f>
        <v/>
      </c>
      <c r="BM12" s="157">
        <f>O12+P12+Q12+R12+S12+T12+U12+V12+W12+X12+Y12+Z12</f>
        <v/>
      </c>
      <c r="BN12" s="157">
        <f>AA12+AB12+AC12+AD12+AE12+AF12+AG12+AH12+AI12+AJ12+AK12+AL12</f>
        <v/>
      </c>
      <c r="BO12" s="157">
        <f>AM12+AN12+AO12+AP12+AQ12+AR12+AS12+AT12+AU12+AV12+AW12+AX12</f>
        <v/>
      </c>
      <c r="BP12" s="157">
        <f>AY12+AZ12+BA12+BB12+BC12+BD12+BE12+BF12+BG12+BH12+BI12+BJ12</f>
        <v/>
      </c>
    </row>
    <row r="13" ht="15" customHeight="1" s="104">
      <c r="A13" s="215" t="inlineStr">
        <is>
          <t xml:space="preserve">    % of Revenue</t>
        </is>
      </c>
      <c r="C13" s="216">
        <f>IF(C6=0,0,C12/C6)</f>
        <v/>
      </c>
      <c r="D13" s="216">
        <f>IF(D6=0,0,D12/D6)</f>
        <v/>
      </c>
      <c r="E13" s="216">
        <f>IF(E6=0,0,E12/E6)</f>
        <v/>
      </c>
      <c r="F13" s="216">
        <f>IF(F6=0,0,F12/F6)</f>
        <v/>
      </c>
      <c r="G13" s="216">
        <f>IF(G6=0,0,G12/G6)</f>
        <v/>
      </c>
      <c r="H13" s="216">
        <f>IF(H6=0,0,H12/H6)</f>
        <v/>
      </c>
      <c r="I13" s="216">
        <f>IF(I6=0,0,I12/I6)</f>
        <v/>
      </c>
      <c r="J13" s="216">
        <f>IF(J6=0,0,J12/J6)</f>
        <v/>
      </c>
      <c r="K13" s="216">
        <f>IF(K6=0,0,K12/K6)</f>
        <v/>
      </c>
      <c r="L13" s="216">
        <f>IF(L6=0,0,L12/L6)</f>
        <v/>
      </c>
      <c r="M13" s="216">
        <f>IF(M6=0,0,M12/M6)</f>
        <v/>
      </c>
      <c r="N13" s="216">
        <f>IF(N6=0,0,N12/N6)</f>
        <v/>
      </c>
      <c r="O13" s="216">
        <f>IF(O6=0,0,O12/O6)</f>
        <v/>
      </c>
      <c r="P13" s="216">
        <f>IF(P6=0,0,P12/P6)</f>
        <v/>
      </c>
      <c r="Q13" s="216">
        <f>IF(Q6=0,0,Q12/Q6)</f>
        <v/>
      </c>
      <c r="R13" s="216">
        <f>IF(R6=0,0,R12/R6)</f>
        <v/>
      </c>
      <c r="S13" s="216">
        <f>IF(S6=0,0,S12/S6)</f>
        <v/>
      </c>
      <c r="T13" s="216">
        <f>IF(T6=0,0,T12/T6)</f>
        <v/>
      </c>
      <c r="U13" s="216">
        <f>IF(U6=0,0,U12/U6)</f>
        <v/>
      </c>
      <c r="V13" s="216">
        <f>IF(V6=0,0,V12/V6)</f>
        <v/>
      </c>
      <c r="W13" s="216">
        <f>IF(W6=0,0,W12/W6)</f>
        <v/>
      </c>
      <c r="X13" s="216">
        <f>IF(X6=0,0,X12/X6)</f>
        <v/>
      </c>
      <c r="Y13" s="216">
        <f>IF(Y6=0,0,Y12/Y6)</f>
        <v/>
      </c>
      <c r="Z13" s="216">
        <f>IF(Z6=0,0,Z12/Z6)</f>
        <v/>
      </c>
      <c r="AA13" s="216">
        <f>IF(AA6=0,0,AA12/AA6)</f>
        <v/>
      </c>
      <c r="AB13" s="216">
        <f>IF(AB6=0,0,AB12/AB6)</f>
        <v/>
      </c>
      <c r="AC13" s="216">
        <f>IF(AC6=0,0,AC12/AC6)</f>
        <v/>
      </c>
      <c r="AD13" s="216">
        <f>IF(AD6=0,0,AD12/AD6)</f>
        <v/>
      </c>
      <c r="AE13" s="216">
        <f>IF(AE6=0,0,AE12/AE6)</f>
        <v/>
      </c>
      <c r="AF13" s="216">
        <f>IF(AF6=0,0,AF12/AF6)</f>
        <v/>
      </c>
      <c r="AG13" s="216">
        <f>IF(AG6=0,0,AG12/AG6)</f>
        <v/>
      </c>
      <c r="AH13" s="216">
        <f>IF(AH6=0,0,AH12/AH6)</f>
        <v/>
      </c>
      <c r="AI13" s="216">
        <f>IF(AI6=0,0,AI12/AI6)</f>
        <v/>
      </c>
      <c r="AJ13" s="216">
        <f>IF(AJ6=0,0,AJ12/AJ6)</f>
        <v/>
      </c>
      <c r="AK13" s="216">
        <f>IF(AK6=0,0,AK12/AK6)</f>
        <v/>
      </c>
      <c r="AL13" s="216">
        <f>IF(AL6=0,0,AL12/AL6)</f>
        <v/>
      </c>
      <c r="AM13" s="216">
        <f>IF(AM6=0,0,AM12/AM6)</f>
        <v/>
      </c>
      <c r="AN13" s="216">
        <f>IF(AN6=0,0,AN12/AN6)</f>
        <v/>
      </c>
      <c r="AO13" s="216">
        <f>IF(AO6=0,0,AO12/AO6)</f>
        <v/>
      </c>
      <c r="AP13" s="216">
        <f>IF(AP6=0,0,AP12/AP6)</f>
        <v/>
      </c>
      <c r="AQ13" s="216">
        <f>IF(AQ6=0,0,AQ12/AQ6)</f>
        <v/>
      </c>
      <c r="AR13" s="216">
        <f>IF(AR6=0,0,AR12/AR6)</f>
        <v/>
      </c>
      <c r="AS13" s="216">
        <f>IF(AS6=0,0,AS12/AS6)</f>
        <v/>
      </c>
      <c r="AT13" s="216">
        <f>IF(AT6=0,0,AT12/AT6)</f>
        <v/>
      </c>
      <c r="AU13" s="216">
        <f>IF(AU6=0,0,AU12/AU6)</f>
        <v/>
      </c>
      <c r="AV13" s="216">
        <f>IF(AV6=0,0,AV12/AV6)</f>
        <v/>
      </c>
      <c r="AW13" s="216">
        <f>IF(AW6=0,0,AW12/AW6)</f>
        <v/>
      </c>
      <c r="AX13" s="216">
        <f>IF(AX6=0,0,AX12/AX6)</f>
        <v/>
      </c>
      <c r="AY13" s="216">
        <f>IF(AY6=0,0,AY12/AY6)</f>
        <v/>
      </c>
      <c r="AZ13" s="216">
        <f>IF(AZ6=0,0,AZ12/AZ6)</f>
        <v/>
      </c>
      <c r="BA13" s="216">
        <f>IF(BA6=0,0,BA12/BA6)</f>
        <v/>
      </c>
      <c r="BB13" s="216">
        <f>IF(BB6=0,0,BB12/BB6)</f>
        <v/>
      </c>
      <c r="BC13" s="216">
        <f>IF(BC6=0,0,BC12/BC6)</f>
        <v/>
      </c>
      <c r="BD13" s="216">
        <f>IF(BD6=0,0,BD12/BD6)</f>
        <v/>
      </c>
      <c r="BE13" s="216">
        <f>IF(BE6=0,0,BE12/BE6)</f>
        <v/>
      </c>
      <c r="BF13" s="216">
        <f>IF(BF6=0,0,BF12/BF6)</f>
        <v/>
      </c>
      <c r="BG13" s="216">
        <f>IF(BG6=0,0,BG12/BG6)</f>
        <v/>
      </c>
      <c r="BH13" s="216">
        <f>IF(BH6=0,0,BH12/BH6)</f>
        <v/>
      </c>
      <c r="BI13" s="216">
        <f>IF(BI6=0,0,BI12/BI6)</f>
        <v/>
      </c>
      <c r="BJ13" s="216">
        <f>IF(BJ6=0,0,BJ12/BJ6)</f>
        <v/>
      </c>
      <c r="BL13" s="217">
        <f>IF((C6+D6+E6+F6+G6+H6+I6+J6+K6+L6+M6+N6)=0,0,(C12+D12+E12+F12+G12+H12+I12+J12+K12+L12+M12+N12)/(C6+D6+E6+F6+G6+H6+I6+J6+K6+L6+M6+N6))</f>
        <v/>
      </c>
      <c r="BM13" s="217">
        <f>IF((O6+P6+Q6+R6+S6+T6+U6+V6+W6+X6+Y6+Z6)=0,0,(O12+P12+Q12+R12+S12+T12+U12+V12+W12+X12+Y12+Z12)/(O6+P6+Q6+R6+S6+T6+U6+V6+W6+X6+Y6+Z6))</f>
        <v/>
      </c>
      <c r="BN13" s="217">
        <f>IF((AA6+AB6+AC6+AD6+AE6+AF6+AG6+AH6+AI6+AJ6+AK6+AL6)=0,0,(AA12+AB12+AC12+AD12+AE12+AF12+AG12+AH12+AI12+AJ12+AK12+AL12)/(AA6+AB6+AC6+AD6+AE6+AF6+AG6+AH6+AI6+AJ6+AK6+AL6))</f>
        <v/>
      </c>
      <c r="BO13" s="217">
        <f>IF((AM6+AN6+AO6+AP6+AQ6+AR6+AS6+AT6+AU6+AV6+AW6+AX6)=0,0,(AM12+AN12+AO12+AP12+AQ12+AR12+AS12+AT12+AU12+AV12+AW12+AX12)/(AM6+AN6+AO6+AP6+AQ6+AR6+AS6+AT6+AU6+AV6+AW6+AX6))</f>
        <v/>
      </c>
      <c r="BP13" s="217">
        <f>IF((AY6+AZ6+BA6+BB6+BC6+BD6+BE6+BF6+BG6+BH6+BI6+BJ6)=0,0,(AY12+AZ12+BA12+BB12+BC12+BD12+BE12+BF12+BG12+BH12+BI12+BJ12)/(AY6+AZ6+BA6+BB6+BC6+BD6+BE6+BF6+BG6+BH6+BI6+BJ6))</f>
        <v/>
      </c>
    </row>
    <row r="14" ht="15" customHeight="1" s="104">
      <c r="A14" s="107" t="inlineStr">
        <is>
          <t>Technology &amp; Software</t>
        </is>
      </c>
      <c r="C14" s="156">
        <f>C6*(Assumptions!B30+Assumptions!B31*0)</f>
        <v/>
      </c>
      <c r="D14" s="156">
        <f>D6*(Assumptions!B30+Assumptions!B31*0)</f>
        <v/>
      </c>
      <c r="E14" s="156">
        <f>E6*(Assumptions!B30+Assumptions!B31*0)</f>
        <v/>
      </c>
      <c r="F14" s="156">
        <f>F6*(Assumptions!B30+Assumptions!B31*0)</f>
        <v/>
      </c>
      <c r="G14" s="156">
        <f>G6*(Assumptions!B30+Assumptions!B31*0)</f>
        <v/>
      </c>
      <c r="H14" s="156">
        <f>H6*(Assumptions!B30+Assumptions!B31*0)</f>
        <v/>
      </c>
      <c r="I14" s="156">
        <f>I6*(Assumptions!B30+Assumptions!B31*0)</f>
        <v/>
      </c>
      <c r="J14" s="156">
        <f>J6*(Assumptions!B30+Assumptions!B31*0)</f>
        <v/>
      </c>
      <c r="K14" s="156">
        <f>K6*(Assumptions!B30+Assumptions!B31*0)</f>
        <v/>
      </c>
      <c r="L14" s="156">
        <f>L6*(Assumptions!B30+Assumptions!B31*0)</f>
        <v/>
      </c>
      <c r="M14" s="156">
        <f>M6*(Assumptions!B30+Assumptions!B31*0)</f>
        <v/>
      </c>
      <c r="N14" s="156">
        <f>N6*(Assumptions!B30+Assumptions!B31*0)</f>
        <v/>
      </c>
      <c r="O14" s="156">
        <f>O6*(Assumptions!B30+Assumptions!B31*1)</f>
        <v/>
      </c>
      <c r="P14" s="156">
        <f>P6*(Assumptions!B30+Assumptions!B31*1)</f>
        <v/>
      </c>
      <c r="Q14" s="156">
        <f>Q6*(Assumptions!B30+Assumptions!B31*1)</f>
        <v/>
      </c>
      <c r="R14" s="156">
        <f>R6*(Assumptions!B30+Assumptions!B31*1)</f>
        <v/>
      </c>
      <c r="S14" s="156">
        <f>S6*(Assumptions!B30+Assumptions!B31*1)</f>
        <v/>
      </c>
      <c r="T14" s="156">
        <f>T6*(Assumptions!B30+Assumptions!B31*1)</f>
        <v/>
      </c>
      <c r="U14" s="156">
        <f>U6*(Assumptions!B30+Assumptions!B31*1)</f>
        <v/>
      </c>
      <c r="V14" s="156">
        <f>V6*(Assumptions!B30+Assumptions!B31*1)</f>
        <v/>
      </c>
      <c r="W14" s="156">
        <f>W6*(Assumptions!B30+Assumptions!B31*1)</f>
        <v/>
      </c>
      <c r="X14" s="156">
        <f>X6*(Assumptions!B30+Assumptions!B31*1)</f>
        <v/>
      </c>
      <c r="Y14" s="156">
        <f>Y6*(Assumptions!B30+Assumptions!B31*1)</f>
        <v/>
      </c>
      <c r="Z14" s="156">
        <f>Z6*(Assumptions!B30+Assumptions!B31*1)</f>
        <v/>
      </c>
      <c r="AA14" s="156">
        <f>AA6*(Assumptions!B30+Assumptions!B31*2)</f>
        <v/>
      </c>
      <c r="AB14" s="156">
        <f>AB6*(Assumptions!B30+Assumptions!B31*2)</f>
        <v/>
      </c>
      <c r="AC14" s="156">
        <f>AC6*(Assumptions!B30+Assumptions!B31*2)</f>
        <v/>
      </c>
      <c r="AD14" s="156">
        <f>AD6*(Assumptions!B30+Assumptions!B31*2)</f>
        <v/>
      </c>
      <c r="AE14" s="156">
        <f>AE6*(Assumptions!B30+Assumptions!B31*2)</f>
        <v/>
      </c>
      <c r="AF14" s="156">
        <f>AF6*(Assumptions!B30+Assumptions!B31*2)</f>
        <v/>
      </c>
      <c r="AG14" s="156">
        <f>AG6*(Assumptions!B30+Assumptions!B31*2)</f>
        <v/>
      </c>
      <c r="AH14" s="156">
        <f>AH6*(Assumptions!B30+Assumptions!B31*2)</f>
        <v/>
      </c>
      <c r="AI14" s="156">
        <f>AI6*(Assumptions!B30+Assumptions!B31*2)</f>
        <v/>
      </c>
      <c r="AJ14" s="156">
        <f>AJ6*(Assumptions!B30+Assumptions!B31*2)</f>
        <v/>
      </c>
      <c r="AK14" s="156">
        <f>AK6*(Assumptions!B30+Assumptions!B31*2)</f>
        <v/>
      </c>
      <c r="AL14" s="156">
        <f>AL6*(Assumptions!B30+Assumptions!B31*2)</f>
        <v/>
      </c>
      <c r="AM14" s="156">
        <f>AM6*(Assumptions!B30+Assumptions!B31*3)</f>
        <v/>
      </c>
      <c r="AN14" s="156">
        <f>AN6*(Assumptions!B30+Assumptions!B31*3)</f>
        <v/>
      </c>
      <c r="AO14" s="156">
        <f>AO6*(Assumptions!B30+Assumptions!B31*3)</f>
        <v/>
      </c>
      <c r="AP14" s="156">
        <f>AP6*(Assumptions!B30+Assumptions!B31*3)</f>
        <v/>
      </c>
      <c r="AQ14" s="156">
        <f>AQ6*(Assumptions!B30+Assumptions!B31*3)</f>
        <v/>
      </c>
      <c r="AR14" s="156">
        <f>AR6*(Assumptions!B30+Assumptions!B31*3)</f>
        <v/>
      </c>
      <c r="AS14" s="156">
        <f>AS6*(Assumptions!B30+Assumptions!B31*3)</f>
        <v/>
      </c>
      <c r="AT14" s="156">
        <f>AT6*(Assumptions!B30+Assumptions!B31*3)</f>
        <v/>
      </c>
      <c r="AU14" s="156">
        <f>AU6*(Assumptions!B30+Assumptions!B31*3)</f>
        <v/>
      </c>
      <c r="AV14" s="156">
        <f>AV6*(Assumptions!B30+Assumptions!B31*3)</f>
        <v/>
      </c>
      <c r="AW14" s="156">
        <f>AW6*(Assumptions!B30+Assumptions!B31*3)</f>
        <v/>
      </c>
      <c r="AX14" s="156">
        <f>AX6*(Assumptions!B30+Assumptions!B31*3)</f>
        <v/>
      </c>
      <c r="AY14" s="156">
        <f>AY6*(Assumptions!B30+Assumptions!B31*4)</f>
        <v/>
      </c>
      <c r="AZ14" s="156">
        <f>AZ6*(Assumptions!B30+Assumptions!B31*4)</f>
        <v/>
      </c>
      <c r="BA14" s="156">
        <f>BA6*(Assumptions!B30+Assumptions!B31*4)</f>
        <v/>
      </c>
      <c r="BB14" s="156">
        <f>BB6*(Assumptions!B30+Assumptions!B31*4)</f>
        <v/>
      </c>
      <c r="BC14" s="156">
        <f>BC6*(Assumptions!B30+Assumptions!B31*4)</f>
        <v/>
      </c>
      <c r="BD14" s="156">
        <f>BD6*(Assumptions!B30+Assumptions!B31*4)</f>
        <v/>
      </c>
      <c r="BE14" s="156">
        <f>BE6*(Assumptions!B30+Assumptions!B31*4)</f>
        <v/>
      </c>
      <c r="BF14" s="156">
        <f>BF6*(Assumptions!B30+Assumptions!B31*4)</f>
        <v/>
      </c>
      <c r="BG14" s="156">
        <f>BG6*(Assumptions!B30+Assumptions!B31*4)</f>
        <v/>
      </c>
      <c r="BH14" s="156">
        <f>BH6*(Assumptions!B30+Assumptions!B31*4)</f>
        <v/>
      </c>
      <c r="BI14" s="156">
        <f>BI6*(Assumptions!B30+Assumptions!B31*4)</f>
        <v/>
      </c>
      <c r="BJ14" s="156">
        <f>BJ6*(Assumptions!B30+Assumptions!B31*4)</f>
        <v/>
      </c>
      <c r="BL14" s="157">
        <f>C14+D14+E14+F14+G14+H14+I14+J14+K14+L14+M14+N14</f>
        <v/>
      </c>
      <c r="BM14" s="157">
        <f>O14+P14+Q14+R14+S14+T14+U14+V14+W14+X14+Y14+Z14</f>
        <v/>
      </c>
      <c r="BN14" s="157">
        <f>AA14+AB14+AC14+AD14+AE14+AF14+AG14+AH14+AI14+AJ14+AK14+AL14</f>
        <v/>
      </c>
      <c r="BO14" s="157">
        <f>AM14+AN14+AO14+AP14+AQ14+AR14+AS14+AT14+AU14+AV14+AW14+AX14</f>
        <v/>
      </c>
      <c r="BP14" s="157">
        <f>AY14+AZ14+BA14+BB14+BC14+BD14+BE14+BF14+BG14+BH14+BI14+BJ14</f>
        <v/>
      </c>
    </row>
    <row r="15" ht="15" customHeight="1" s="104">
      <c r="A15" s="215" t="inlineStr">
        <is>
          <t xml:space="preserve">    % of Revenue</t>
        </is>
      </c>
      <c r="C15" s="216">
        <f>IF(C6=0,0,C14/C6)</f>
        <v/>
      </c>
      <c r="D15" s="216">
        <f>IF(D6=0,0,D14/D6)</f>
        <v/>
      </c>
      <c r="E15" s="216">
        <f>IF(E6=0,0,E14/E6)</f>
        <v/>
      </c>
      <c r="F15" s="216">
        <f>IF(F6=0,0,F14/F6)</f>
        <v/>
      </c>
      <c r="G15" s="216">
        <f>IF(G6=0,0,G14/G6)</f>
        <v/>
      </c>
      <c r="H15" s="216">
        <f>IF(H6=0,0,H14/H6)</f>
        <v/>
      </c>
      <c r="I15" s="216">
        <f>IF(I6=0,0,I14/I6)</f>
        <v/>
      </c>
      <c r="J15" s="216">
        <f>IF(J6=0,0,J14/J6)</f>
        <v/>
      </c>
      <c r="K15" s="216">
        <f>IF(K6=0,0,K14/K6)</f>
        <v/>
      </c>
      <c r="L15" s="216">
        <f>IF(L6=0,0,L14/L6)</f>
        <v/>
      </c>
      <c r="M15" s="216">
        <f>IF(M6=0,0,M14/M6)</f>
        <v/>
      </c>
      <c r="N15" s="216">
        <f>IF(N6=0,0,N14/N6)</f>
        <v/>
      </c>
      <c r="O15" s="216">
        <f>IF(O6=0,0,O14/O6)</f>
        <v/>
      </c>
      <c r="P15" s="216">
        <f>IF(P6=0,0,P14/P6)</f>
        <v/>
      </c>
      <c r="Q15" s="216">
        <f>IF(Q6=0,0,Q14/Q6)</f>
        <v/>
      </c>
      <c r="R15" s="216">
        <f>IF(R6=0,0,R14/R6)</f>
        <v/>
      </c>
      <c r="S15" s="216">
        <f>IF(S6=0,0,S14/S6)</f>
        <v/>
      </c>
      <c r="T15" s="216">
        <f>IF(T6=0,0,T14/T6)</f>
        <v/>
      </c>
      <c r="U15" s="216">
        <f>IF(U6=0,0,U14/U6)</f>
        <v/>
      </c>
      <c r="V15" s="216">
        <f>IF(V6=0,0,V14/V6)</f>
        <v/>
      </c>
      <c r="W15" s="216">
        <f>IF(W6=0,0,W14/W6)</f>
        <v/>
      </c>
      <c r="X15" s="216">
        <f>IF(X6=0,0,X14/X6)</f>
        <v/>
      </c>
      <c r="Y15" s="216">
        <f>IF(Y6=0,0,Y14/Y6)</f>
        <v/>
      </c>
      <c r="Z15" s="216">
        <f>IF(Z6=0,0,Z14/Z6)</f>
        <v/>
      </c>
      <c r="AA15" s="216">
        <f>IF(AA6=0,0,AA14/AA6)</f>
        <v/>
      </c>
      <c r="AB15" s="216">
        <f>IF(AB6=0,0,AB14/AB6)</f>
        <v/>
      </c>
      <c r="AC15" s="216">
        <f>IF(AC6=0,0,AC14/AC6)</f>
        <v/>
      </c>
      <c r="AD15" s="216">
        <f>IF(AD6=0,0,AD14/AD6)</f>
        <v/>
      </c>
      <c r="AE15" s="216">
        <f>IF(AE6=0,0,AE14/AE6)</f>
        <v/>
      </c>
      <c r="AF15" s="216">
        <f>IF(AF6=0,0,AF14/AF6)</f>
        <v/>
      </c>
      <c r="AG15" s="216">
        <f>IF(AG6=0,0,AG14/AG6)</f>
        <v/>
      </c>
      <c r="AH15" s="216">
        <f>IF(AH6=0,0,AH14/AH6)</f>
        <v/>
      </c>
      <c r="AI15" s="216">
        <f>IF(AI6=0,0,AI14/AI6)</f>
        <v/>
      </c>
      <c r="AJ15" s="216">
        <f>IF(AJ6=0,0,AJ14/AJ6)</f>
        <v/>
      </c>
      <c r="AK15" s="216">
        <f>IF(AK6=0,0,AK14/AK6)</f>
        <v/>
      </c>
      <c r="AL15" s="216">
        <f>IF(AL6=0,0,AL14/AL6)</f>
        <v/>
      </c>
      <c r="AM15" s="216">
        <f>IF(AM6=0,0,AM14/AM6)</f>
        <v/>
      </c>
      <c r="AN15" s="216">
        <f>IF(AN6=0,0,AN14/AN6)</f>
        <v/>
      </c>
      <c r="AO15" s="216">
        <f>IF(AO6=0,0,AO14/AO6)</f>
        <v/>
      </c>
      <c r="AP15" s="216">
        <f>IF(AP6=0,0,AP14/AP6)</f>
        <v/>
      </c>
      <c r="AQ15" s="216">
        <f>IF(AQ6=0,0,AQ14/AQ6)</f>
        <v/>
      </c>
      <c r="AR15" s="216">
        <f>IF(AR6=0,0,AR14/AR6)</f>
        <v/>
      </c>
      <c r="AS15" s="216">
        <f>IF(AS6=0,0,AS14/AS6)</f>
        <v/>
      </c>
      <c r="AT15" s="216">
        <f>IF(AT6=0,0,AT14/AT6)</f>
        <v/>
      </c>
      <c r="AU15" s="216">
        <f>IF(AU6=0,0,AU14/AU6)</f>
        <v/>
      </c>
      <c r="AV15" s="216">
        <f>IF(AV6=0,0,AV14/AV6)</f>
        <v/>
      </c>
      <c r="AW15" s="216">
        <f>IF(AW6=0,0,AW14/AW6)</f>
        <v/>
      </c>
      <c r="AX15" s="216">
        <f>IF(AX6=0,0,AX14/AX6)</f>
        <v/>
      </c>
      <c r="AY15" s="216">
        <f>IF(AY6=0,0,AY14/AY6)</f>
        <v/>
      </c>
      <c r="AZ15" s="216">
        <f>IF(AZ6=0,0,AZ14/AZ6)</f>
        <v/>
      </c>
      <c r="BA15" s="216">
        <f>IF(BA6=0,0,BA14/BA6)</f>
        <v/>
      </c>
      <c r="BB15" s="216">
        <f>IF(BB6=0,0,BB14/BB6)</f>
        <v/>
      </c>
      <c r="BC15" s="216">
        <f>IF(BC6=0,0,BC14/BC6)</f>
        <v/>
      </c>
      <c r="BD15" s="216">
        <f>IF(BD6=0,0,BD14/BD6)</f>
        <v/>
      </c>
      <c r="BE15" s="216">
        <f>IF(BE6=0,0,BE14/BE6)</f>
        <v/>
      </c>
      <c r="BF15" s="216">
        <f>IF(BF6=0,0,BF14/BF6)</f>
        <v/>
      </c>
      <c r="BG15" s="216">
        <f>IF(BG6=0,0,BG14/BG6)</f>
        <v/>
      </c>
      <c r="BH15" s="216">
        <f>IF(BH6=0,0,BH14/BH6)</f>
        <v/>
      </c>
      <c r="BI15" s="216">
        <f>IF(BI6=0,0,BI14/BI6)</f>
        <v/>
      </c>
      <c r="BJ15" s="216">
        <f>IF(BJ6=0,0,BJ14/BJ6)</f>
        <v/>
      </c>
      <c r="BL15" s="217">
        <f>IF((C6+D6+E6+F6+G6+H6+I6+J6+K6+L6+M6+N6)=0,0,(C14+D14+E14+F14+G14+H14+I14+J14+K14+L14+M14+N14)/(C6+D6+E6+F6+G6+H6+I6+J6+K6+L6+M6+N6))</f>
        <v/>
      </c>
      <c r="BM15" s="217">
        <f>IF((O6+P6+Q6+R6+S6+T6+U6+V6+W6+X6+Y6+Z6)=0,0,(O14+P14+Q14+R14+S14+T14+U14+V14+W14+X14+Y14+Z14)/(O6+P6+Q6+R6+S6+T6+U6+V6+W6+X6+Y6+Z6))</f>
        <v/>
      </c>
      <c r="BN15" s="217">
        <f>IF((AA6+AB6+AC6+AD6+AE6+AF6+AG6+AH6+AI6+AJ6+AK6+AL6)=0,0,(AA14+AB14+AC14+AD14+AE14+AF14+AG14+AH14+AI14+AJ14+AK14+AL14)/(AA6+AB6+AC6+AD6+AE6+AF6+AG6+AH6+AI6+AJ6+AK6+AL6))</f>
        <v/>
      </c>
      <c r="BO15" s="217">
        <f>IF((AM6+AN6+AO6+AP6+AQ6+AR6+AS6+AT6+AU6+AV6+AW6+AX6)=0,0,(AM14+AN14+AO14+AP14+AQ14+AR14+AS14+AT14+AU14+AV14+AW14+AX14)/(AM6+AN6+AO6+AP6+AQ6+AR6+AS6+AT6+AU6+AV6+AW6+AX6))</f>
        <v/>
      </c>
      <c r="BP15" s="217">
        <f>IF((AY6+AZ6+BA6+BB6+BC6+BD6+BE6+BF6+BG6+BH6+BI6+BJ6)=0,0,(AY14+AZ14+BA14+BB14+BC14+BD14+BE14+BF14+BG14+BH14+BI14+BJ14)/(AY6+AZ6+BA6+BB6+BC6+BD6+BE6+BF6+BG6+BH6+BI6+BJ6))</f>
        <v/>
      </c>
    </row>
    <row r="16" ht="15" customHeight="1" s="104">
      <c r="A16" s="107" t="inlineStr">
        <is>
          <t>Insurance</t>
        </is>
      </c>
      <c r="C16" s="156">
        <f>C6*(Assumptions!B32+Assumptions!B33*0)</f>
        <v/>
      </c>
      <c r="D16" s="156">
        <f>D6*(Assumptions!B32+Assumptions!B33*0)</f>
        <v/>
      </c>
      <c r="E16" s="156">
        <f>E6*(Assumptions!B32+Assumptions!B33*0)</f>
        <v/>
      </c>
      <c r="F16" s="156">
        <f>F6*(Assumptions!B32+Assumptions!B33*0)</f>
        <v/>
      </c>
      <c r="G16" s="156">
        <f>G6*(Assumptions!B32+Assumptions!B33*0)</f>
        <v/>
      </c>
      <c r="H16" s="156">
        <f>H6*(Assumptions!B32+Assumptions!B33*0)</f>
        <v/>
      </c>
      <c r="I16" s="156">
        <f>I6*(Assumptions!B32+Assumptions!B33*0)</f>
        <v/>
      </c>
      <c r="J16" s="156">
        <f>J6*(Assumptions!B32+Assumptions!B33*0)</f>
        <v/>
      </c>
      <c r="K16" s="156">
        <f>K6*(Assumptions!B32+Assumptions!B33*0)</f>
        <v/>
      </c>
      <c r="L16" s="156">
        <f>L6*(Assumptions!B32+Assumptions!B33*0)</f>
        <v/>
      </c>
      <c r="M16" s="156">
        <f>M6*(Assumptions!B32+Assumptions!B33*0)</f>
        <v/>
      </c>
      <c r="N16" s="156">
        <f>N6*(Assumptions!B32+Assumptions!B33*0)</f>
        <v/>
      </c>
      <c r="O16" s="156">
        <f>O6*(Assumptions!B32+Assumptions!B33*1)</f>
        <v/>
      </c>
      <c r="P16" s="156">
        <f>P6*(Assumptions!B32+Assumptions!B33*1)</f>
        <v/>
      </c>
      <c r="Q16" s="156">
        <f>Q6*(Assumptions!B32+Assumptions!B33*1)</f>
        <v/>
      </c>
      <c r="R16" s="156">
        <f>R6*(Assumptions!B32+Assumptions!B33*1)</f>
        <v/>
      </c>
      <c r="S16" s="156">
        <f>S6*(Assumptions!B32+Assumptions!B33*1)</f>
        <v/>
      </c>
      <c r="T16" s="156">
        <f>T6*(Assumptions!B32+Assumptions!B33*1)</f>
        <v/>
      </c>
      <c r="U16" s="156">
        <f>U6*(Assumptions!B32+Assumptions!B33*1)</f>
        <v/>
      </c>
      <c r="V16" s="156">
        <f>V6*(Assumptions!B32+Assumptions!B33*1)</f>
        <v/>
      </c>
      <c r="W16" s="156">
        <f>W6*(Assumptions!B32+Assumptions!B33*1)</f>
        <v/>
      </c>
      <c r="X16" s="156">
        <f>X6*(Assumptions!B32+Assumptions!B33*1)</f>
        <v/>
      </c>
      <c r="Y16" s="156">
        <f>Y6*(Assumptions!B32+Assumptions!B33*1)</f>
        <v/>
      </c>
      <c r="Z16" s="156">
        <f>Z6*(Assumptions!B32+Assumptions!B33*1)</f>
        <v/>
      </c>
      <c r="AA16" s="156">
        <f>AA6*(Assumptions!B32+Assumptions!B33*2)</f>
        <v/>
      </c>
      <c r="AB16" s="156">
        <f>AB6*(Assumptions!B32+Assumptions!B33*2)</f>
        <v/>
      </c>
      <c r="AC16" s="156">
        <f>AC6*(Assumptions!B32+Assumptions!B33*2)</f>
        <v/>
      </c>
      <c r="AD16" s="156">
        <f>AD6*(Assumptions!B32+Assumptions!B33*2)</f>
        <v/>
      </c>
      <c r="AE16" s="156">
        <f>AE6*(Assumptions!B32+Assumptions!B33*2)</f>
        <v/>
      </c>
      <c r="AF16" s="156">
        <f>AF6*(Assumptions!B32+Assumptions!B33*2)</f>
        <v/>
      </c>
      <c r="AG16" s="156">
        <f>AG6*(Assumptions!B32+Assumptions!B33*2)</f>
        <v/>
      </c>
      <c r="AH16" s="156">
        <f>AH6*(Assumptions!B32+Assumptions!B33*2)</f>
        <v/>
      </c>
      <c r="AI16" s="156">
        <f>AI6*(Assumptions!B32+Assumptions!B33*2)</f>
        <v/>
      </c>
      <c r="AJ16" s="156">
        <f>AJ6*(Assumptions!B32+Assumptions!B33*2)</f>
        <v/>
      </c>
      <c r="AK16" s="156">
        <f>AK6*(Assumptions!B32+Assumptions!B33*2)</f>
        <v/>
      </c>
      <c r="AL16" s="156">
        <f>AL6*(Assumptions!B32+Assumptions!B33*2)</f>
        <v/>
      </c>
      <c r="AM16" s="156">
        <f>AM6*(Assumptions!B32+Assumptions!B33*3)</f>
        <v/>
      </c>
      <c r="AN16" s="156">
        <f>AN6*(Assumptions!B32+Assumptions!B33*3)</f>
        <v/>
      </c>
      <c r="AO16" s="156">
        <f>AO6*(Assumptions!B32+Assumptions!B33*3)</f>
        <v/>
      </c>
      <c r="AP16" s="156">
        <f>AP6*(Assumptions!B32+Assumptions!B33*3)</f>
        <v/>
      </c>
      <c r="AQ16" s="156">
        <f>AQ6*(Assumptions!B32+Assumptions!B33*3)</f>
        <v/>
      </c>
      <c r="AR16" s="156">
        <f>AR6*(Assumptions!B32+Assumptions!B33*3)</f>
        <v/>
      </c>
      <c r="AS16" s="156">
        <f>AS6*(Assumptions!B32+Assumptions!B33*3)</f>
        <v/>
      </c>
      <c r="AT16" s="156">
        <f>AT6*(Assumptions!B32+Assumptions!B33*3)</f>
        <v/>
      </c>
      <c r="AU16" s="156">
        <f>AU6*(Assumptions!B32+Assumptions!B33*3)</f>
        <v/>
      </c>
      <c r="AV16" s="156">
        <f>AV6*(Assumptions!B32+Assumptions!B33*3)</f>
        <v/>
      </c>
      <c r="AW16" s="156">
        <f>AW6*(Assumptions!B32+Assumptions!B33*3)</f>
        <v/>
      </c>
      <c r="AX16" s="156">
        <f>AX6*(Assumptions!B32+Assumptions!B33*3)</f>
        <v/>
      </c>
      <c r="AY16" s="156">
        <f>AY6*(Assumptions!B32+Assumptions!B33*4)</f>
        <v/>
      </c>
      <c r="AZ16" s="156">
        <f>AZ6*(Assumptions!B32+Assumptions!B33*4)</f>
        <v/>
      </c>
      <c r="BA16" s="156">
        <f>BA6*(Assumptions!B32+Assumptions!B33*4)</f>
        <v/>
      </c>
      <c r="BB16" s="156">
        <f>BB6*(Assumptions!B32+Assumptions!B33*4)</f>
        <v/>
      </c>
      <c r="BC16" s="156">
        <f>BC6*(Assumptions!B32+Assumptions!B33*4)</f>
        <v/>
      </c>
      <c r="BD16" s="156">
        <f>BD6*(Assumptions!B32+Assumptions!B33*4)</f>
        <v/>
      </c>
      <c r="BE16" s="156">
        <f>BE6*(Assumptions!B32+Assumptions!B33*4)</f>
        <v/>
      </c>
      <c r="BF16" s="156">
        <f>BF6*(Assumptions!B32+Assumptions!B33*4)</f>
        <v/>
      </c>
      <c r="BG16" s="156">
        <f>BG6*(Assumptions!B32+Assumptions!B33*4)</f>
        <v/>
      </c>
      <c r="BH16" s="156">
        <f>BH6*(Assumptions!B32+Assumptions!B33*4)</f>
        <v/>
      </c>
      <c r="BI16" s="156">
        <f>BI6*(Assumptions!B32+Assumptions!B33*4)</f>
        <v/>
      </c>
      <c r="BJ16" s="156">
        <f>BJ6*(Assumptions!B32+Assumptions!B33*4)</f>
        <v/>
      </c>
      <c r="BL16" s="157">
        <f>C16+D16+E16+F16+G16+H16+I16+J16+K16+L16+M16+N16</f>
        <v/>
      </c>
      <c r="BM16" s="157">
        <f>O16+P16+Q16+R16+S16+T16+U16+V16+W16+X16+Y16+Z16</f>
        <v/>
      </c>
      <c r="BN16" s="157">
        <f>AA16+AB16+AC16+AD16+AE16+AF16+AG16+AH16+AI16+AJ16+AK16+AL16</f>
        <v/>
      </c>
      <c r="BO16" s="157">
        <f>AM16+AN16+AO16+AP16+AQ16+AR16+AS16+AT16+AU16+AV16+AW16+AX16</f>
        <v/>
      </c>
      <c r="BP16" s="157">
        <f>AY16+AZ16+BA16+BB16+BC16+BD16+BE16+BF16+BG16+BH16+BI16+BJ16</f>
        <v/>
      </c>
    </row>
    <row r="17" ht="15" customHeight="1" s="104">
      <c r="A17" s="215" t="inlineStr">
        <is>
          <t xml:space="preserve">    % of Revenue</t>
        </is>
      </c>
      <c r="C17" s="216">
        <f>IF(C6=0,0,C16/C6)</f>
        <v/>
      </c>
      <c r="D17" s="216">
        <f>IF(D6=0,0,D16/D6)</f>
        <v/>
      </c>
      <c r="E17" s="216">
        <f>IF(E6=0,0,E16/E6)</f>
        <v/>
      </c>
      <c r="F17" s="216">
        <f>IF(F6=0,0,F16/F6)</f>
        <v/>
      </c>
      <c r="G17" s="216">
        <f>IF(G6=0,0,G16/G6)</f>
        <v/>
      </c>
      <c r="H17" s="216">
        <f>IF(H6=0,0,H16/H6)</f>
        <v/>
      </c>
      <c r="I17" s="216">
        <f>IF(I6=0,0,I16/I6)</f>
        <v/>
      </c>
      <c r="J17" s="216">
        <f>IF(J6=0,0,J16/J6)</f>
        <v/>
      </c>
      <c r="K17" s="216">
        <f>IF(K6=0,0,K16/K6)</f>
        <v/>
      </c>
      <c r="L17" s="216">
        <f>IF(L6=0,0,L16/L6)</f>
        <v/>
      </c>
      <c r="M17" s="216">
        <f>IF(M6=0,0,M16/M6)</f>
        <v/>
      </c>
      <c r="N17" s="216">
        <f>IF(N6=0,0,N16/N6)</f>
        <v/>
      </c>
      <c r="O17" s="216">
        <f>IF(O6=0,0,O16/O6)</f>
        <v/>
      </c>
      <c r="P17" s="216">
        <f>IF(P6=0,0,P16/P6)</f>
        <v/>
      </c>
      <c r="Q17" s="216">
        <f>IF(Q6=0,0,Q16/Q6)</f>
        <v/>
      </c>
      <c r="R17" s="216">
        <f>IF(R6=0,0,R16/R6)</f>
        <v/>
      </c>
      <c r="S17" s="216">
        <f>IF(S6=0,0,S16/S6)</f>
        <v/>
      </c>
      <c r="T17" s="216">
        <f>IF(T6=0,0,T16/T6)</f>
        <v/>
      </c>
      <c r="U17" s="216">
        <f>IF(U6=0,0,U16/U6)</f>
        <v/>
      </c>
      <c r="V17" s="216">
        <f>IF(V6=0,0,V16/V6)</f>
        <v/>
      </c>
      <c r="W17" s="216">
        <f>IF(W6=0,0,W16/W6)</f>
        <v/>
      </c>
      <c r="X17" s="216">
        <f>IF(X6=0,0,X16/X6)</f>
        <v/>
      </c>
      <c r="Y17" s="216">
        <f>IF(Y6=0,0,Y16/Y6)</f>
        <v/>
      </c>
      <c r="Z17" s="216">
        <f>IF(Z6=0,0,Z16/Z6)</f>
        <v/>
      </c>
      <c r="AA17" s="216">
        <f>IF(AA6=0,0,AA16/AA6)</f>
        <v/>
      </c>
      <c r="AB17" s="216">
        <f>IF(AB6=0,0,AB16/AB6)</f>
        <v/>
      </c>
      <c r="AC17" s="216">
        <f>IF(AC6=0,0,AC16/AC6)</f>
        <v/>
      </c>
      <c r="AD17" s="216">
        <f>IF(AD6=0,0,AD16/AD6)</f>
        <v/>
      </c>
      <c r="AE17" s="216">
        <f>IF(AE6=0,0,AE16/AE6)</f>
        <v/>
      </c>
      <c r="AF17" s="216">
        <f>IF(AF6=0,0,AF16/AF6)</f>
        <v/>
      </c>
      <c r="AG17" s="216">
        <f>IF(AG6=0,0,AG16/AG6)</f>
        <v/>
      </c>
      <c r="AH17" s="216">
        <f>IF(AH6=0,0,AH16/AH6)</f>
        <v/>
      </c>
      <c r="AI17" s="216">
        <f>IF(AI6=0,0,AI16/AI6)</f>
        <v/>
      </c>
      <c r="AJ17" s="216">
        <f>IF(AJ6=0,0,AJ16/AJ6)</f>
        <v/>
      </c>
      <c r="AK17" s="216">
        <f>IF(AK6=0,0,AK16/AK6)</f>
        <v/>
      </c>
      <c r="AL17" s="216">
        <f>IF(AL6=0,0,AL16/AL6)</f>
        <v/>
      </c>
      <c r="AM17" s="216">
        <f>IF(AM6=0,0,AM16/AM6)</f>
        <v/>
      </c>
      <c r="AN17" s="216">
        <f>IF(AN6=0,0,AN16/AN6)</f>
        <v/>
      </c>
      <c r="AO17" s="216">
        <f>IF(AO6=0,0,AO16/AO6)</f>
        <v/>
      </c>
      <c r="AP17" s="216">
        <f>IF(AP6=0,0,AP16/AP6)</f>
        <v/>
      </c>
      <c r="AQ17" s="216">
        <f>IF(AQ6=0,0,AQ16/AQ6)</f>
        <v/>
      </c>
      <c r="AR17" s="216">
        <f>IF(AR6=0,0,AR16/AR6)</f>
        <v/>
      </c>
      <c r="AS17" s="216">
        <f>IF(AS6=0,0,AS16/AS6)</f>
        <v/>
      </c>
      <c r="AT17" s="216">
        <f>IF(AT6=0,0,AT16/AT6)</f>
        <v/>
      </c>
      <c r="AU17" s="216">
        <f>IF(AU6=0,0,AU16/AU6)</f>
        <v/>
      </c>
      <c r="AV17" s="216">
        <f>IF(AV6=0,0,AV16/AV6)</f>
        <v/>
      </c>
      <c r="AW17" s="216">
        <f>IF(AW6=0,0,AW16/AW6)</f>
        <v/>
      </c>
      <c r="AX17" s="216">
        <f>IF(AX6=0,0,AX16/AX6)</f>
        <v/>
      </c>
      <c r="AY17" s="216">
        <f>IF(AY6=0,0,AY16/AY6)</f>
        <v/>
      </c>
      <c r="AZ17" s="216">
        <f>IF(AZ6=0,0,AZ16/AZ6)</f>
        <v/>
      </c>
      <c r="BA17" s="216">
        <f>IF(BA6=0,0,BA16/BA6)</f>
        <v/>
      </c>
      <c r="BB17" s="216">
        <f>IF(BB6=0,0,BB16/BB6)</f>
        <v/>
      </c>
      <c r="BC17" s="216">
        <f>IF(BC6=0,0,BC16/BC6)</f>
        <v/>
      </c>
      <c r="BD17" s="216">
        <f>IF(BD6=0,0,BD16/BD6)</f>
        <v/>
      </c>
      <c r="BE17" s="216">
        <f>IF(BE6=0,0,BE16/BE6)</f>
        <v/>
      </c>
      <c r="BF17" s="216">
        <f>IF(BF6=0,0,BF16/BF6)</f>
        <v/>
      </c>
      <c r="BG17" s="216">
        <f>IF(BG6=0,0,BG16/BG6)</f>
        <v/>
      </c>
      <c r="BH17" s="216">
        <f>IF(BH6=0,0,BH16/BH6)</f>
        <v/>
      </c>
      <c r="BI17" s="216">
        <f>IF(BI6=0,0,BI16/BI6)</f>
        <v/>
      </c>
      <c r="BJ17" s="216">
        <f>IF(BJ6=0,0,BJ16/BJ6)</f>
        <v/>
      </c>
      <c r="BL17" s="217">
        <f>IF((C6+D6+E6+F6+G6+H6+I6+J6+K6+L6+M6+N6)=0,0,(C16+D16+E16+F16+G16+H16+I16+J16+K16+L16+M16+N16)/(C6+D6+E6+F6+G6+H6+I6+J6+K6+L6+M6+N6))</f>
        <v/>
      </c>
      <c r="BM17" s="217">
        <f>IF((O6+P6+Q6+R6+S6+T6+U6+V6+W6+X6+Y6+Z6)=0,0,(O16+P16+Q16+R16+S16+T16+U16+V16+W16+X16+Y16+Z16)/(O6+P6+Q6+R6+S6+T6+U6+V6+W6+X6+Y6+Z6))</f>
        <v/>
      </c>
      <c r="BN17" s="217">
        <f>IF((AA6+AB6+AC6+AD6+AE6+AF6+AG6+AH6+AI6+AJ6+AK6+AL6)=0,0,(AA16+AB16+AC16+AD16+AE16+AF16+AG16+AH16+AI16+AJ16+AK16+AL16)/(AA6+AB6+AC6+AD6+AE6+AF6+AG6+AH6+AI6+AJ6+AK6+AL6))</f>
        <v/>
      </c>
      <c r="BO17" s="217">
        <f>IF((AM6+AN6+AO6+AP6+AQ6+AR6+AS6+AT6+AU6+AV6+AW6+AX6)=0,0,(AM16+AN16+AO16+AP16+AQ16+AR16+AS16+AT16+AU16+AV16+AW16+AX16)/(AM6+AN6+AO6+AP6+AQ6+AR6+AS6+AT6+AU6+AV6+AW6+AX6))</f>
        <v/>
      </c>
      <c r="BP17" s="217">
        <f>IF((AY6+AZ6+BA6+BB6+BC6+BD6+BE6+BF6+BG6+BH6+BI6+BJ6)=0,0,(AY16+AZ16+BA16+BB16+BC16+BD16+BE16+BF16+BG16+BH16+BI16+BJ16)/(AY6+AZ6+BA6+BB6+BC6+BD6+BE6+BF6+BG6+BH6+BI6+BJ6))</f>
        <v/>
      </c>
    </row>
    <row r="18" ht="15" customHeight="1" s="104">
      <c r="A18" s="107" t="inlineStr">
        <is>
          <t>Other Operating Expenses</t>
        </is>
      </c>
      <c r="C18" s="156">
        <f>C6*(Assumptions!B34+Assumptions!B35*0)</f>
        <v/>
      </c>
      <c r="D18" s="156">
        <f>D6*(Assumptions!B34+Assumptions!B35*0)</f>
        <v/>
      </c>
      <c r="E18" s="156">
        <f>E6*(Assumptions!B34+Assumptions!B35*0)</f>
        <v/>
      </c>
      <c r="F18" s="156">
        <f>F6*(Assumptions!B34+Assumptions!B35*0)</f>
        <v/>
      </c>
      <c r="G18" s="156">
        <f>G6*(Assumptions!B34+Assumptions!B35*0)</f>
        <v/>
      </c>
      <c r="H18" s="156">
        <f>H6*(Assumptions!B34+Assumptions!B35*0)</f>
        <v/>
      </c>
      <c r="I18" s="156">
        <f>I6*(Assumptions!B34+Assumptions!B35*0)</f>
        <v/>
      </c>
      <c r="J18" s="156">
        <f>J6*(Assumptions!B34+Assumptions!B35*0)</f>
        <v/>
      </c>
      <c r="K18" s="156">
        <f>K6*(Assumptions!B34+Assumptions!B35*0)</f>
        <v/>
      </c>
      <c r="L18" s="156">
        <f>L6*(Assumptions!B34+Assumptions!B35*0)</f>
        <v/>
      </c>
      <c r="M18" s="156">
        <f>M6*(Assumptions!B34+Assumptions!B35*0)</f>
        <v/>
      </c>
      <c r="N18" s="156">
        <f>N6*(Assumptions!B34+Assumptions!B35*0)</f>
        <v/>
      </c>
      <c r="O18" s="156">
        <f>O6*(Assumptions!B34+Assumptions!B35*1)</f>
        <v/>
      </c>
      <c r="P18" s="156">
        <f>P6*(Assumptions!B34+Assumptions!B35*1)</f>
        <v/>
      </c>
      <c r="Q18" s="156">
        <f>Q6*(Assumptions!B34+Assumptions!B35*1)</f>
        <v/>
      </c>
      <c r="R18" s="156">
        <f>R6*(Assumptions!B34+Assumptions!B35*1)</f>
        <v/>
      </c>
      <c r="S18" s="156">
        <f>S6*(Assumptions!B34+Assumptions!B35*1)</f>
        <v/>
      </c>
      <c r="T18" s="156">
        <f>T6*(Assumptions!B34+Assumptions!B35*1)</f>
        <v/>
      </c>
      <c r="U18" s="156">
        <f>U6*(Assumptions!B34+Assumptions!B35*1)</f>
        <v/>
      </c>
      <c r="V18" s="156">
        <f>V6*(Assumptions!B34+Assumptions!B35*1)</f>
        <v/>
      </c>
      <c r="W18" s="156">
        <f>W6*(Assumptions!B34+Assumptions!B35*1)</f>
        <v/>
      </c>
      <c r="X18" s="156">
        <f>X6*(Assumptions!B34+Assumptions!B35*1)</f>
        <v/>
      </c>
      <c r="Y18" s="156">
        <f>Y6*(Assumptions!B34+Assumptions!B35*1)</f>
        <v/>
      </c>
      <c r="Z18" s="156">
        <f>Z6*(Assumptions!B34+Assumptions!B35*1)</f>
        <v/>
      </c>
      <c r="AA18" s="156">
        <f>AA6*(Assumptions!B34+Assumptions!B35*2)</f>
        <v/>
      </c>
      <c r="AB18" s="156">
        <f>AB6*(Assumptions!B34+Assumptions!B35*2)</f>
        <v/>
      </c>
      <c r="AC18" s="156">
        <f>AC6*(Assumptions!B34+Assumptions!B35*2)</f>
        <v/>
      </c>
      <c r="AD18" s="156">
        <f>AD6*(Assumptions!B34+Assumptions!B35*2)</f>
        <v/>
      </c>
      <c r="AE18" s="156">
        <f>AE6*(Assumptions!B34+Assumptions!B35*2)</f>
        <v/>
      </c>
      <c r="AF18" s="156">
        <f>AF6*(Assumptions!B34+Assumptions!B35*2)</f>
        <v/>
      </c>
      <c r="AG18" s="156">
        <f>AG6*(Assumptions!B34+Assumptions!B35*2)</f>
        <v/>
      </c>
      <c r="AH18" s="156">
        <f>AH6*(Assumptions!B34+Assumptions!B35*2)</f>
        <v/>
      </c>
      <c r="AI18" s="156">
        <f>AI6*(Assumptions!B34+Assumptions!B35*2)</f>
        <v/>
      </c>
      <c r="AJ18" s="156">
        <f>AJ6*(Assumptions!B34+Assumptions!B35*2)</f>
        <v/>
      </c>
      <c r="AK18" s="156">
        <f>AK6*(Assumptions!B34+Assumptions!B35*2)</f>
        <v/>
      </c>
      <c r="AL18" s="156">
        <f>AL6*(Assumptions!B34+Assumptions!B35*2)</f>
        <v/>
      </c>
      <c r="AM18" s="156">
        <f>AM6*(Assumptions!B34+Assumptions!B35*3)</f>
        <v/>
      </c>
      <c r="AN18" s="156">
        <f>AN6*(Assumptions!B34+Assumptions!B35*3)</f>
        <v/>
      </c>
      <c r="AO18" s="156">
        <f>AO6*(Assumptions!B34+Assumptions!B35*3)</f>
        <v/>
      </c>
      <c r="AP18" s="156">
        <f>AP6*(Assumptions!B34+Assumptions!B35*3)</f>
        <v/>
      </c>
      <c r="AQ18" s="156">
        <f>AQ6*(Assumptions!B34+Assumptions!B35*3)</f>
        <v/>
      </c>
      <c r="AR18" s="156">
        <f>AR6*(Assumptions!B34+Assumptions!B35*3)</f>
        <v/>
      </c>
      <c r="AS18" s="156">
        <f>AS6*(Assumptions!B34+Assumptions!B35*3)</f>
        <v/>
      </c>
      <c r="AT18" s="156">
        <f>AT6*(Assumptions!B34+Assumptions!B35*3)</f>
        <v/>
      </c>
      <c r="AU18" s="156">
        <f>AU6*(Assumptions!B34+Assumptions!B35*3)</f>
        <v/>
      </c>
      <c r="AV18" s="156">
        <f>AV6*(Assumptions!B34+Assumptions!B35*3)</f>
        <v/>
      </c>
      <c r="AW18" s="156">
        <f>AW6*(Assumptions!B34+Assumptions!B35*3)</f>
        <v/>
      </c>
      <c r="AX18" s="156">
        <f>AX6*(Assumptions!B34+Assumptions!B35*3)</f>
        <v/>
      </c>
      <c r="AY18" s="156">
        <f>AY6*(Assumptions!B34+Assumptions!B35*4)</f>
        <v/>
      </c>
      <c r="AZ18" s="156">
        <f>AZ6*(Assumptions!B34+Assumptions!B35*4)</f>
        <v/>
      </c>
      <c r="BA18" s="156">
        <f>BA6*(Assumptions!B34+Assumptions!B35*4)</f>
        <v/>
      </c>
      <c r="BB18" s="156">
        <f>BB6*(Assumptions!B34+Assumptions!B35*4)</f>
        <v/>
      </c>
      <c r="BC18" s="156">
        <f>BC6*(Assumptions!B34+Assumptions!B35*4)</f>
        <v/>
      </c>
      <c r="BD18" s="156">
        <f>BD6*(Assumptions!B34+Assumptions!B35*4)</f>
        <v/>
      </c>
      <c r="BE18" s="156">
        <f>BE6*(Assumptions!B34+Assumptions!B35*4)</f>
        <v/>
      </c>
      <c r="BF18" s="156">
        <f>BF6*(Assumptions!B34+Assumptions!B35*4)</f>
        <v/>
      </c>
      <c r="BG18" s="156">
        <f>BG6*(Assumptions!B34+Assumptions!B35*4)</f>
        <v/>
      </c>
      <c r="BH18" s="156">
        <f>BH6*(Assumptions!B34+Assumptions!B35*4)</f>
        <v/>
      </c>
      <c r="BI18" s="156">
        <f>BI6*(Assumptions!B34+Assumptions!B35*4)</f>
        <v/>
      </c>
      <c r="BJ18" s="156">
        <f>BJ6*(Assumptions!B34+Assumptions!B35*4)</f>
        <v/>
      </c>
      <c r="BL18" s="157">
        <f>C18+D18+E18+F18+G18+H18+I18+J18+K18+L18+M18+N18</f>
        <v/>
      </c>
      <c r="BM18" s="157">
        <f>O18+P18+Q18+R18+S18+T18+U18+V18+W18+X18+Y18+Z18</f>
        <v/>
      </c>
      <c r="BN18" s="157">
        <f>AA18+AB18+AC18+AD18+AE18+AF18+AG18+AH18+AI18+AJ18+AK18+AL18</f>
        <v/>
      </c>
      <c r="BO18" s="157">
        <f>AM18+AN18+AO18+AP18+AQ18+AR18+AS18+AT18+AU18+AV18+AW18+AX18</f>
        <v/>
      </c>
      <c r="BP18" s="157">
        <f>AY18+AZ18+BA18+BB18+BC18+BD18+BE18+BF18+BG18+BH18+BI18+BJ18</f>
        <v/>
      </c>
    </row>
    <row r="19" ht="15" customHeight="1" s="104">
      <c r="A19" s="215" t="inlineStr">
        <is>
          <t xml:space="preserve">    % of Revenue</t>
        </is>
      </c>
      <c r="C19" s="216">
        <f>IF(C6=0,0,C18/C6)</f>
        <v/>
      </c>
      <c r="D19" s="216">
        <f>IF(D6=0,0,D18/D6)</f>
        <v/>
      </c>
      <c r="E19" s="216">
        <f>IF(E6=0,0,E18/E6)</f>
        <v/>
      </c>
      <c r="F19" s="216">
        <f>IF(F6=0,0,F18/F6)</f>
        <v/>
      </c>
      <c r="G19" s="216">
        <f>IF(G6=0,0,G18/G6)</f>
        <v/>
      </c>
      <c r="H19" s="216">
        <f>IF(H6=0,0,H18/H6)</f>
        <v/>
      </c>
      <c r="I19" s="216">
        <f>IF(I6=0,0,I18/I6)</f>
        <v/>
      </c>
      <c r="J19" s="216">
        <f>IF(J6=0,0,J18/J6)</f>
        <v/>
      </c>
      <c r="K19" s="216">
        <f>IF(K6=0,0,K18/K6)</f>
        <v/>
      </c>
      <c r="L19" s="216">
        <f>IF(L6=0,0,L18/L6)</f>
        <v/>
      </c>
      <c r="M19" s="216">
        <f>IF(M6=0,0,M18/M6)</f>
        <v/>
      </c>
      <c r="N19" s="216">
        <f>IF(N6=0,0,N18/N6)</f>
        <v/>
      </c>
      <c r="O19" s="216">
        <f>IF(O6=0,0,O18/O6)</f>
        <v/>
      </c>
      <c r="P19" s="216">
        <f>IF(P6=0,0,P18/P6)</f>
        <v/>
      </c>
      <c r="Q19" s="216">
        <f>IF(Q6=0,0,Q18/Q6)</f>
        <v/>
      </c>
      <c r="R19" s="216">
        <f>IF(R6=0,0,R18/R6)</f>
        <v/>
      </c>
      <c r="S19" s="216">
        <f>IF(S6=0,0,S18/S6)</f>
        <v/>
      </c>
      <c r="T19" s="216">
        <f>IF(T6=0,0,T18/T6)</f>
        <v/>
      </c>
      <c r="U19" s="216">
        <f>IF(U6=0,0,U18/U6)</f>
        <v/>
      </c>
      <c r="V19" s="216">
        <f>IF(V6=0,0,V18/V6)</f>
        <v/>
      </c>
      <c r="W19" s="216">
        <f>IF(W6=0,0,W18/W6)</f>
        <v/>
      </c>
      <c r="X19" s="216">
        <f>IF(X6=0,0,X18/X6)</f>
        <v/>
      </c>
      <c r="Y19" s="216">
        <f>IF(Y6=0,0,Y18/Y6)</f>
        <v/>
      </c>
      <c r="Z19" s="216">
        <f>IF(Z6=0,0,Z18/Z6)</f>
        <v/>
      </c>
      <c r="AA19" s="216">
        <f>IF(AA6=0,0,AA18/AA6)</f>
        <v/>
      </c>
      <c r="AB19" s="216">
        <f>IF(AB6=0,0,AB18/AB6)</f>
        <v/>
      </c>
      <c r="AC19" s="216">
        <f>IF(AC6=0,0,AC18/AC6)</f>
        <v/>
      </c>
      <c r="AD19" s="216">
        <f>IF(AD6=0,0,AD18/AD6)</f>
        <v/>
      </c>
      <c r="AE19" s="216">
        <f>IF(AE6=0,0,AE18/AE6)</f>
        <v/>
      </c>
      <c r="AF19" s="216">
        <f>IF(AF6=0,0,AF18/AF6)</f>
        <v/>
      </c>
      <c r="AG19" s="216">
        <f>IF(AG6=0,0,AG18/AG6)</f>
        <v/>
      </c>
      <c r="AH19" s="216">
        <f>IF(AH6=0,0,AH18/AH6)</f>
        <v/>
      </c>
      <c r="AI19" s="216">
        <f>IF(AI6=0,0,AI18/AI6)</f>
        <v/>
      </c>
      <c r="AJ19" s="216">
        <f>IF(AJ6=0,0,AJ18/AJ6)</f>
        <v/>
      </c>
      <c r="AK19" s="216">
        <f>IF(AK6=0,0,AK18/AK6)</f>
        <v/>
      </c>
      <c r="AL19" s="216">
        <f>IF(AL6=0,0,AL18/AL6)</f>
        <v/>
      </c>
      <c r="AM19" s="216">
        <f>IF(AM6=0,0,AM18/AM6)</f>
        <v/>
      </c>
      <c r="AN19" s="216">
        <f>IF(AN6=0,0,AN18/AN6)</f>
        <v/>
      </c>
      <c r="AO19" s="216">
        <f>IF(AO6=0,0,AO18/AO6)</f>
        <v/>
      </c>
      <c r="AP19" s="216">
        <f>IF(AP6=0,0,AP18/AP6)</f>
        <v/>
      </c>
      <c r="AQ19" s="216">
        <f>IF(AQ6=0,0,AQ18/AQ6)</f>
        <v/>
      </c>
      <c r="AR19" s="216">
        <f>IF(AR6=0,0,AR18/AR6)</f>
        <v/>
      </c>
      <c r="AS19" s="216">
        <f>IF(AS6=0,0,AS18/AS6)</f>
        <v/>
      </c>
      <c r="AT19" s="216">
        <f>IF(AT6=0,0,AT18/AT6)</f>
        <v/>
      </c>
      <c r="AU19" s="216">
        <f>IF(AU6=0,0,AU18/AU6)</f>
        <v/>
      </c>
      <c r="AV19" s="216">
        <f>IF(AV6=0,0,AV18/AV6)</f>
        <v/>
      </c>
      <c r="AW19" s="216">
        <f>IF(AW6=0,0,AW18/AW6)</f>
        <v/>
      </c>
      <c r="AX19" s="216">
        <f>IF(AX6=0,0,AX18/AX6)</f>
        <v/>
      </c>
      <c r="AY19" s="216">
        <f>IF(AY6=0,0,AY18/AY6)</f>
        <v/>
      </c>
      <c r="AZ19" s="216">
        <f>IF(AZ6=0,0,AZ18/AZ6)</f>
        <v/>
      </c>
      <c r="BA19" s="216">
        <f>IF(BA6=0,0,BA18/BA6)</f>
        <v/>
      </c>
      <c r="BB19" s="216">
        <f>IF(BB6=0,0,BB18/BB6)</f>
        <v/>
      </c>
      <c r="BC19" s="216">
        <f>IF(BC6=0,0,BC18/BC6)</f>
        <v/>
      </c>
      <c r="BD19" s="216">
        <f>IF(BD6=0,0,BD18/BD6)</f>
        <v/>
      </c>
      <c r="BE19" s="216">
        <f>IF(BE6=0,0,BE18/BE6)</f>
        <v/>
      </c>
      <c r="BF19" s="216">
        <f>IF(BF6=0,0,BF18/BF6)</f>
        <v/>
      </c>
      <c r="BG19" s="216">
        <f>IF(BG6=0,0,BG18/BG6)</f>
        <v/>
      </c>
      <c r="BH19" s="216">
        <f>IF(BH6=0,0,BH18/BH6)</f>
        <v/>
      </c>
      <c r="BI19" s="216">
        <f>IF(BI6=0,0,BI18/BI6)</f>
        <v/>
      </c>
      <c r="BJ19" s="216">
        <f>IF(BJ6=0,0,BJ18/BJ6)</f>
        <v/>
      </c>
      <c r="BL19" s="217">
        <f>IF((C6+D6+E6+F6+G6+H6+I6+J6+K6+L6+M6+N6)=0,0,(C18+D18+E18+F18+G18+H18+I18+J18+K18+L18+M18+N18)/(C6+D6+E6+F6+G6+H6+I6+J6+K6+L6+M6+N6))</f>
        <v/>
      </c>
      <c r="BM19" s="217">
        <f>IF((O6+P6+Q6+R6+S6+T6+U6+V6+W6+X6+Y6+Z6)=0,0,(O18+P18+Q18+R18+S18+T18+U18+V18+W18+X18+Y18+Z18)/(O6+P6+Q6+R6+S6+T6+U6+V6+W6+X6+Y6+Z6))</f>
        <v/>
      </c>
      <c r="BN19" s="217">
        <f>IF((AA6+AB6+AC6+AD6+AE6+AF6+AG6+AH6+AI6+AJ6+AK6+AL6)=0,0,(AA18+AB18+AC18+AD18+AE18+AF18+AG18+AH18+AI18+AJ18+AK18+AL18)/(AA6+AB6+AC6+AD6+AE6+AF6+AG6+AH6+AI6+AJ6+AK6+AL6))</f>
        <v/>
      </c>
      <c r="BO19" s="217">
        <f>IF((AM6+AN6+AO6+AP6+AQ6+AR6+AS6+AT6+AU6+AV6+AW6+AX6)=0,0,(AM18+AN18+AO18+AP18+AQ18+AR18+AS18+AT18+AU18+AV18+AW18+AX18)/(AM6+AN6+AO6+AP6+AQ6+AR6+AS6+AT6+AU6+AV6+AW6+AX6))</f>
        <v/>
      </c>
      <c r="BP19" s="217">
        <f>IF((AY6+AZ6+BA6+BB6+BC6+BD6+BE6+BF6+BG6+BH6+BI6+BJ6)=0,0,(AY18+AZ18+BA18+BB18+BC18+BD18+BE18+BF18+BG18+BH18+BI18+BJ18)/(AY6+AZ6+BA6+BB6+BC6+BD6+BE6+BF6+BG6+BH6+BI6+BJ6))</f>
        <v/>
      </c>
    </row>
    <row r="20" ht="15" customHeight="1" s="104">
      <c r="A20" s="116" t="inlineStr">
        <is>
          <t>Total Operating Expenses</t>
        </is>
      </c>
      <c r="C20" s="151">
        <f>C8+C10+C12+C14+C16+C18</f>
        <v/>
      </c>
      <c r="D20" s="151">
        <f>D8+D10+D12+D14+D16+D18</f>
        <v/>
      </c>
      <c r="E20" s="151">
        <f>E8+E10+E12+E14+E16+E18</f>
        <v/>
      </c>
      <c r="F20" s="151">
        <f>F8+F10+F12+F14+F16+F18</f>
        <v/>
      </c>
      <c r="G20" s="151">
        <f>G8+G10+G12+G14+G16+G18</f>
        <v/>
      </c>
      <c r="H20" s="151">
        <f>H8+H10+H12+H14+H16+H18</f>
        <v/>
      </c>
      <c r="I20" s="151">
        <f>I8+I10+I12+I14+I16+I18</f>
        <v/>
      </c>
      <c r="J20" s="151">
        <f>J8+J10+J12+J14+J16+J18</f>
        <v/>
      </c>
      <c r="K20" s="151">
        <f>K8+K10+K12+K14+K16+K18</f>
        <v/>
      </c>
      <c r="L20" s="151">
        <f>L8+L10+L12+L14+L16+L18</f>
        <v/>
      </c>
      <c r="M20" s="151">
        <f>M8+M10+M12+M14+M16+M18</f>
        <v/>
      </c>
      <c r="N20" s="151">
        <f>N8+N10+N12+N14+N16+N18</f>
        <v/>
      </c>
      <c r="O20" s="151">
        <f>O8+O10+O12+O14+O16+O18</f>
        <v/>
      </c>
      <c r="P20" s="151">
        <f>P8+P10+P12+P14+P16+P18</f>
        <v/>
      </c>
      <c r="Q20" s="151">
        <f>Q8+Q10+Q12+Q14+Q16+Q18</f>
        <v/>
      </c>
      <c r="R20" s="151">
        <f>R8+R10+R12+R14+R16+R18</f>
        <v/>
      </c>
      <c r="S20" s="151">
        <f>S8+S10+S12+S14+S16+S18</f>
        <v/>
      </c>
      <c r="T20" s="151">
        <f>T8+T10+T12+T14+T16+T18</f>
        <v/>
      </c>
      <c r="U20" s="151">
        <f>U8+U10+U12+U14+U16+U18</f>
        <v/>
      </c>
      <c r="V20" s="151">
        <f>V8+V10+V12+V14+V16+V18</f>
        <v/>
      </c>
      <c r="W20" s="151">
        <f>W8+W10+W12+W14+W16+W18</f>
        <v/>
      </c>
      <c r="X20" s="151">
        <f>X8+X10+X12+X14+X16+X18</f>
        <v/>
      </c>
      <c r="Y20" s="151">
        <f>Y8+Y10+Y12+Y14+Y16+Y18</f>
        <v/>
      </c>
      <c r="Z20" s="151">
        <f>Z8+Z10+Z12+Z14+Z16+Z18</f>
        <v/>
      </c>
      <c r="AA20" s="151">
        <f>AA8+AA10+AA12+AA14+AA16+AA18</f>
        <v/>
      </c>
      <c r="AB20" s="151">
        <f>AB8+AB10+AB12+AB14+AB16+AB18</f>
        <v/>
      </c>
      <c r="AC20" s="151">
        <f>AC8+AC10+AC12+AC14+AC16+AC18</f>
        <v/>
      </c>
      <c r="AD20" s="151">
        <f>AD8+AD10+AD12+AD14+AD16+AD18</f>
        <v/>
      </c>
      <c r="AE20" s="151">
        <f>AE8+AE10+AE12+AE14+AE16+AE18</f>
        <v/>
      </c>
      <c r="AF20" s="151">
        <f>AF8+AF10+AF12+AF14+AF16+AF18</f>
        <v/>
      </c>
      <c r="AG20" s="151">
        <f>AG8+AG10+AG12+AG14+AG16+AG18</f>
        <v/>
      </c>
      <c r="AH20" s="151">
        <f>AH8+AH10+AH12+AH14+AH16+AH18</f>
        <v/>
      </c>
      <c r="AI20" s="151">
        <f>AI8+AI10+AI12+AI14+AI16+AI18</f>
        <v/>
      </c>
      <c r="AJ20" s="151">
        <f>AJ8+AJ10+AJ12+AJ14+AJ16+AJ18</f>
        <v/>
      </c>
      <c r="AK20" s="151">
        <f>AK8+AK10+AK12+AK14+AK16+AK18</f>
        <v/>
      </c>
      <c r="AL20" s="151">
        <f>AL8+AL10+AL12+AL14+AL16+AL18</f>
        <v/>
      </c>
      <c r="AM20" s="151">
        <f>AM8+AM10+AM12+AM14+AM16+AM18</f>
        <v/>
      </c>
      <c r="AN20" s="151">
        <f>AN8+AN10+AN12+AN14+AN16+AN18</f>
        <v/>
      </c>
      <c r="AO20" s="151">
        <f>AO8+AO10+AO12+AO14+AO16+AO18</f>
        <v/>
      </c>
      <c r="AP20" s="151">
        <f>AP8+AP10+AP12+AP14+AP16+AP18</f>
        <v/>
      </c>
      <c r="AQ20" s="151">
        <f>AQ8+AQ10+AQ12+AQ14+AQ16+AQ18</f>
        <v/>
      </c>
      <c r="AR20" s="151">
        <f>AR8+AR10+AR12+AR14+AR16+AR18</f>
        <v/>
      </c>
      <c r="AS20" s="151">
        <f>AS8+AS10+AS12+AS14+AS16+AS18</f>
        <v/>
      </c>
      <c r="AT20" s="151">
        <f>AT8+AT10+AT12+AT14+AT16+AT18</f>
        <v/>
      </c>
      <c r="AU20" s="151">
        <f>AU8+AU10+AU12+AU14+AU16+AU18</f>
        <v/>
      </c>
      <c r="AV20" s="151">
        <f>AV8+AV10+AV12+AV14+AV16+AV18</f>
        <v/>
      </c>
      <c r="AW20" s="151">
        <f>AW8+AW10+AW12+AW14+AW16+AW18</f>
        <v/>
      </c>
      <c r="AX20" s="151">
        <f>AX8+AX10+AX12+AX14+AX16+AX18</f>
        <v/>
      </c>
      <c r="AY20" s="151">
        <f>AY8+AY10+AY12+AY14+AY16+AY18</f>
        <v/>
      </c>
      <c r="AZ20" s="151">
        <f>AZ8+AZ10+AZ12+AZ14+AZ16+AZ18</f>
        <v/>
      </c>
      <c r="BA20" s="151">
        <f>BA8+BA10+BA12+BA14+BA16+BA18</f>
        <v/>
      </c>
      <c r="BB20" s="151">
        <f>BB8+BB10+BB12+BB14+BB16+BB18</f>
        <v/>
      </c>
      <c r="BC20" s="151">
        <f>BC8+BC10+BC12+BC14+BC16+BC18</f>
        <v/>
      </c>
      <c r="BD20" s="151">
        <f>BD8+BD10+BD12+BD14+BD16+BD18</f>
        <v/>
      </c>
      <c r="BE20" s="151">
        <f>BE8+BE10+BE12+BE14+BE16+BE18</f>
        <v/>
      </c>
      <c r="BF20" s="151">
        <f>BF8+BF10+BF12+BF14+BF16+BF18</f>
        <v/>
      </c>
      <c r="BG20" s="151">
        <f>BG8+BG10+BG12+BG14+BG16+BG18</f>
        <v/>
      </c>
      <c r="BH20" s="151">
        <f>BH8+BH10+BH12+BH14+BH16+BH18</f>
        <v/>
      </c>
      <c r="BI20" s="151">
        <f>BI8+BI10+BI12+BI14+BI16+BI18</f>
        <v/>
      </c>
      <c r="BJ20" s="151">
        <f>BJ8+BJ10+BJ12+BJ14+BJ16+BJ18</f>
        <v/>
      </c>
      <c r="BL20" s="152">
        <f>C20+D20+E20+F20+G20+H20+I20+J20+K20+L20+M20+N20</f>
        <v/>
      </c>
      <c r="BM20" s="152">
        <f>O20+P20+Q20+R20+S20+T20+U20+V20+W20+X20+Y20+Z20</f>
        <v/>
      </c>
      <c r="BN20" s="152">
        <f>AA20+AB20+AC20+AD20+AE20+AF20+AG20+AH20+AI20+AJ20+AK20+AL20</f>
        <v/>
      </c>
      <c r="BO20" s="152">
        <f>AM20+AN20+AO20+AP20+AQ20+AR20+AS20+AT20+AU20+AV20+AW20+AX20</f>
        <v/>
      </c>
      <c r="BP20" s="152">
        <f>AY20+AZ20+BA20+BB20+BC20+BD20+BE20+BF20+BG20+BH20+BI20+BJ20</f>
        <v/>
      </c>
    </row>
    <row r="21" ht="15" customHeight="1" s="104">
      <c r="A21" s="106" t="inlineStr">
        <is>
          <t>EBITDA</t>
        </is>
      </c>
    </row>
    <row r="22" ht="15" customHeight="1" s="104">
      <c r="A22" s="116" t="inlineStr">
        <is>
          <t>EBITDA</t>
        </is>
      </c>
      <c r="C22" s="151">
        <f>C6-C20</f>
        <v/>
      </c>
      <c r="D22" s="151">
        <f>D6-D20</f>
        <v/>
      </c>
      <c r="E22" s="151">
        <f>E6-E20</f>
        <v/>
      </c>
      <c r="F22" s="151">
        <f>F6-F20</f>
        <v/>
      </c>
      <c r="G22" s="151">
        <f>G6-G20</f>
        <v/>
      </c>
      <c r="H22" s="151">
        <f>H6-H20</f>
        <v/>
      </c>
      <c r="I22" s="151">
        <f>I6-I20</f>
        <v/>
      </c>
      <c r="J22" s="151">
        <f>J6-J20</f>
        <v/>
      </c>
      <c r="K22" s="151">
        <f>K6-K20</f>
        <v/>
      </c>
      <c r="L22" s="151">
        <f>L6-L20</f>
        <v/>
      </c>
      <c r="M22" s="151">
        <f>M6-M20</f>
        <v/>
      </c>
      <c r="N22" s="151">
        <f>N6-N20</f>
        <v/>
      </c>
      <c r="O22" s="151">
        <f>O6-O20</f>
        <v/>
      </c>
      <c r="P22" s="151">
        <f>P6-P20</f>
        <v/>
      </c>
      <c r="Q22" s="151">
        <f>Q6-Q20</f>
        <v/>
      </c>
      <c r="R22" s="151">
        <f>R6-R20</f>
        <v/>
      </c>
      <c r="S22" s="151">
        <f>S6-S20</f>
        <v/>
      </c>
      <c r="T22" s="151">
        <f>T6-T20</f>
        <v/>
      </c>
      <c r="U22" s="151">
        <f>U6-U20</f>
        <v/>
      </c>
      <c r="V22" s="151">
        <f>V6-V20</f>
        <v/>
      </c>
      <c r="W22" s="151">
        <f>W6-W20</f>
        <v/>
      </c>
      <c r="X22" s="151">
        <f>X6-X20</f>
        <v/>
      </c>
      <c r="Y22" s="151">
        <f>Y6-Y20</f>
        <v/>
      </c>
      <c r="Z22" s="151">
        <f>Z6-Z20</f>
        <v/>
      </c>
      <c r="AA22" s="151">
        <f>AA6-AA20</f>
        <v/>
      </c>
      <c r="AB22" s="151">
        <f>AB6-AB20</f>
        <v/>
      </c>
      <c r="AC22" s="151">
        <f>AC6-AC20</f>
        <v/>
      </c>
      <c r="AD22" s="151">
        <f>AD6-AD20</f>
        <v/>
      </c>
      <c r="AE22" s="151">
        <f>AE6-AE20</f>
        <v/>
      </c>
      <c r="AF22" s="151">
        <f>AF6-AF20</f>
        <v/>
      </c>
      <c r="AG22" s="151">
        <f>AG6-AG20</f>
        <v/>
      </c>
      <c r="AH22" s="151">
        <f>AH6-AH20</f>
        <v/>
      </c>
      <c r="AI22" s="151">
        <f>AI6-AI20</f>
        <v/>
      </c>
      <c r="AJ22" s="151">
        <f>AJ6-AJ20</f>
        <v/>
      </c>
      <c r="AK22" s="151">
        <f>AK6-AK20</f>
        <v/>
      </c>
      <c r="AL22" s="151">
        <f>AL6-AL20</f>
        <v/>
      </c>
      <c r="AM22" s="151">
        <f>AM6-AM20</f>
        <v/>
      </c>
      <c r="AN22" s="151">
        <f>AN6-AN20</f>
        <v/>
      </c>
      <c r="AO22" s="151">
        <f>AO6-AO20</f>
        <v/>
      </c>
      <c r="AP22" s="151">
        <f>AP6-AP20</f>
        <v/>
      </c>
      <c r="AQ22" s="151">
        <f>AQ6-AQ20</f>
        <v/>
      </c>
      <c r="AR22" s="151">
        <f>AR6-AR20</f>
        <v/>
      </c>
      <c r="AS22" s="151">
        <f>AS6-AS20</f>
        <v/>
      </c>
      <c r="AT22" s="151">
        <f>AT6-AT20</f>
        <v/>
      </c>
      <c r="AU22" s="151">
        <f>AU6-AU20</f>
        <v/>
      </c>
      <c r="AV22" s="151">
        <f>AV6-AV20</f>
        <v/>
      </c>
      <c r="AW22" s="151">
        <f>AW6-AW20</f>
        <v/>
      </c>
      <c r="AX22" s="151">
        <f>AX6-AX20</f>
        <v/>
      </c>
      <c r="AY22" s="151">
        <f>AY6-AY20</f>
        <v/>
      </c>
      <c r="AZ22" s="151">
        <f>AZ6-AZ20</f>
        <v/>
      </c>
      <c r="BA22" s="151">
        <f>BA6-BA20</f>
        <v/>
      </c>
      <c r="BB22" s="151">
        <f>BB6-BB20</f>
        <v/>
      </c>
      <c r="BC22" s="151">
        <f>BC6-BC20</f>
        <v/>
      </c>
      <c r="BD22" s="151">
        <f>BD6-BD20</f>
        <v/>
      </c>
      <c r="BE22" s="151">
        <f>BE6-BE20</f>
        <v/>
      </c>
      <c r="BF22" s="151">
        <f>BF6-BF20</f>
        <v/>
      </c>
      <c r="BG22" s="151">
        <f>BG6-BG20</f>
        <v/>
      </c>
      <c r="BH22" s="151">
        <f>BH6-BH20</f>
        <v/>
      </c>
      <c r="BI22" s="151">
        <f>BI6-BI20</f>
        <v/>
      </c>
      <c r="BJ22" s="151">
        <f>BJ6-BJ20</f>
        <v/>
      </c>
      <c r="BL22" s="152">
        <f>C22+D22+E22+F22+G22+H22+I22+J22+K22+L22+M22+N22</f>
        <v/>
      </c>
      <c r="BM22" s="152">
        <f>O22+P22+Q22+R22+S22+T22+U22+V22+W22+X22+Y22+Z22</f>
        <v/>
      </c>
      <c r="BN22" s="152">
        <f>AA22+AB22+AC22+AD22+AE22+AF22+AG22+AH22+AI22+AJ22+AK22+AL22</f>
        <v/>
      </c>
      <c r="BO22" s="152">
        <f>AM22+AN22+AO22+AP22+AQ22+AR22+AS22+AT22+AU22+AV22+AW22+AX22</f>
        <v/>
      </c>
      <c r="BP22" s="152">
        <f>AY22+AZ22+BA22+BB22+BC22+BD22+BE22+BF22+BG22+BH22+BI22+BJ22</f>
        <v/>
      </c>
    </row>
    <row r="23" ht="15" customHeight="1" s="104">
      <c r="A23" s="218" t="inlineStr">
        <is>
          <t xml:space="preserve">    EBITDA Margin %</t>
        </is>
      </c>
      <c r="C23" s="192">
        <f>IF(C6=0,0,C22/C6)</f>
        <v/>
      </c>
      <c r="D23" s="192">
        <f>IF(D6=0,0,D22/D6)</f>
        <v/>
      </c>
      <c r="E23" s="192">
        <f>IF(E6=0,0,E22/E6)</f>
        <v/>
      </c>
      <c r="F23" s="192">
        <f>IF(F6=0,0,F22/F6)</f>
        <v/>
      </c>
      <c r="G23" s="192">
        <f>IF(G6=0,0,G22/G6)</f>
        <v/>
      </c>
      <c r="H23" s="192">
        <f>IF(H6=0,0,H22/H6)</f>
        <v/>
      </c>
      <c r="I23" s="192">
        <f>IF(I6=0,0,I22/I6)</f>
        <v/>
      </c>
      <c r="J23" s="192">
        <f>IF(J6=0,0,J22/J6)</f>
        <v/>
      </c>
      <c r="K23" s="192">
        <f>IF(K6=0,0,K22/K6)</f>
        <v/>
      </c>
      <c r="L23" s="192">
        <f>IF(L6=0,0,L22/L6)</f>
        <v/>
      </c>
      <c r="M23" s="192">
        <f>IF(M6=0,0,M22/M6)</f>
        <v/>
      </c>
      <c r="N23" s="192">
        <f>IF(N6=0,0,N22/N6)</f>
        <v/>
      </c>
      <c r="O23" s="192">
        <f>IF(O6=0,0,O22/O6)</f>
        <v/>
      </c>
      <c r="P23" s="192">
        <f>IF(P6=0,0,P22/P6)</f>
        <v/>
      </c>
      <c r="Q23" s="192">
        <f>IF(Q6=0,0,Q22/Q6)</f>
        <v/>
      </c>
      <c r="R23" s="192">
        <f>IF(R6=0,0,R22/R6)</f>
        <v/>
      </c>
      <c r="S23" s="192">
        <f>IF(S6=0,0,S22/S6)</f>
        <v/>
      </c>
      <c r="T23" s="192">
        <f>IF(T6=0,0,T22/T6)</f>
        <v/>
      </c>
      <c r="U23" s="192">
        <f>IF(U6=0,0,U22/U6)</f>
        <v/>
      </c>
      <c r="V23" s="192">
        <f>IF(V6=0,0,V22/V6)</f>
        <v/>
      </c>
      <c r="W23" s="192">
        <f>IF(W6=0,0,W22/W6)</f>
        <v/>
      </c>
      <c r="X23" s="192">
        <f>IF(X6=0,0,X22/X6)</f>
        <v/>
      </c>
      <c r="Y23" s="192">
        <f>IF(Y6=0,0,Y22/Y6)</f>
        <v/>
      </c>
      <c r="Z23" s="192">
        <f>IF(Z6=0,0,Z22/Z6)</f>
        <v/>
      </c>
      <c r="AA23" s="192">
        <f>IF(AA6=0,0,AA22/AA6)</f>
        <v/>
      </c>
      <c r="AB23" s="192">
        <f>IF(AB6=0,0,AB22/AB6)</f>
        <v/>
      </c>
      <c r="AC23" s="192">
        <f>IF(AC6=0,0,AC22/AC6)</f>
        <v/>
      </c>
      <c r="AD23" s="192">
        <f>IF(AD6=0,0,AD22/AD6)</f>
        <v/>
      </c>
      <c r="AE23" s="192">
        <f>IF(AE6=0,0,AE22/AE6)</f>
        <v/>
      </c>
      <c r="AF23" s="192">
        <f>IF(AF6=0,0,AF22/AF6)</f>
        <v/>
      </c>
      <c r="AG23" s="192">
        <f>IF(AG6=0,0,AG22/AG6)</f>
        <v/>
      </c>
      <c r="AH23" s="192">
        <f>IF(AH6=0,0,AH22/AH6)</f>
        <v/>
      </c>
      <c r="AI23" s="192">
        <f>IF(AI6=0,0,AI22/AI6)</f>
        <v/>
      </c>
      <c r="AJ23" s="192">
        <f>IF(AJ6=0,0,AJ22/AJ6)</f>
        <v/>
      </c>
      <c r="AK23" s="192">
        <f>IF(AK6=0,0,AK22/AK6)</f>
        <v/>
      </c>
      <c r="AL23" s="192">
        <f>IF(AL6=0,0,AL22/AL6)</f>
        <v/>
      </c>
      <c r="AM23" s="192">
        <f>IF(AM6=0,0,AM22/AM6)</f>
        <v/>
      </c>
      <c r="AN23" s="192">
        <f>IF(AN6=0,0,AN22/AN6)</f>
        <v/>
      </c>
      <c r="AO23" s="192">
        <f>IF(AO6=0,0,AO22/AO6)</f>
        <v/>
      </c>
      <c r="AP23" s="192">
        <f>IF(AP6=0,0,AP22/AP6)</f>
        <v/>
      </c>
      <c r="AQ23" s="192">
        <f>IF(AQ6=0,0,AQ22/AQ6)</f>
        <v/>
      </c>
      <c r="AR23" s="192">
        <f>IF(AR6=0,0,AR22/AR6)</f>
        <v/>
      </c>
      <c r="AS23" s="192">
        <f>IF(AS6=0,0,AS22/AS6)</f>
        <v/>
      </c>
      <c r="AT23" s="192">
        <f>IF(AT6=0,0,AT22/AT6)</f>
        <v/>
      </c>
      <c r="AU23" s="192">
        <f>IF(AU6=0,0,AU22/AU6)</f>
        <v/>
      </c>
      <c r="AV23" s="192">
        <f>IF(AV6=0,0,AV22/AV6)</f>
        <v/>
      </c>
      <c r="AW23" s="192">
        <f>IF(AW6=0,0,AW22/AW6)</f>
        <v/>
      </c>
      <c r="AX23" s="192">
        <f>IF(AX6=0,0,AX22/AX6)</f>
        <v/>
      </c>
      <c r="AY23" s="192">
        <f>IF(AY6=0,0,AY22/AY6)</f>
        <v/>
      </c>
      <c r="AZ23" s="192">
        <f>IF(AZ6=0,0,AZ22/AZ6)</f>
        <v/>
      </c>
      <c r="BA23" s="192">
        <f>IF(BA6=0,0,BA22/BA6)</f>
        <v/>
      </c>
      <c r="BB23" s="192">
        <f>IF(BB6=0,0,BB22/BB6)</f>
        <v/>
      </c>
      <c r="BC23" s="192">
        <f>IF(BC6=0,0,BC22/BC6)</f>
        <v/>
      </c>
      <c r="BD23" s="192">
        <f>IF(BD6=0,0,BD22/BD6)</f>
        <v/>
      </c>
      <c r="BE23" s="192">
        <f>IF(BE6=0,0,BE22/BE6)</f>
        <v/>
      </c>
      <c r="BF23" s="192">
        <f>IF(BF6=0,0,BF22/BF6)</f>
        <v/>
      </c>
      <c r="BG23" s="192">
        <f>IF(BG6=0,0,BG22/BG6)</f>
        <v/>
      </c>
      <c r="BH23" s="192">
        <f>IF(BH6=0,0,BH22/BH6)</f>
        <v/>
      </c>
      <c r="BI23" s="192">
        <f>IF(BI6=0,0,BI22/BI6)</f>
        <v/>
      </c>
      <c r="BJ23" s="192">
        <f>IF(BJ6=0,0,BJ22/BJ6)</f>
        <v/>
      </c>
      <c r="BL23" s="219">
        <f>IF((C6+D6+E6+F6+G6+H6+I6+J6+K6+L6+M6+N6)=0,0,(C22+D22+E22+F22+G22+H22+I22+J22+K22+L22+M22+N22)/(C6+D6+E6+F6+G6+H6+I6+J6+K6+L6+M6+N6))</f>
        <v/>
      </c>
      <c r="BM23" s="219">
        <f>IF((O6+P6+Q6+R6+S6+T6+U6+V6+W6+X6+Y6+Z6)=0,0,(O22+P22+Q22+R22+S22+T22+U22+V22+W22+X22+Y22+Z22)/(O6+P6+Q6+R6+S6+T6+U6+V6+W6+X6+Y6+Z6))</f>
        <v/>
      </c>
      <c r="BN23" s="219">
        <f>IF((AA6+AB6+AC6+AD6+AE6+AF6+AG6+AH6+AI6+AJ6+AK6+AL6)=0,0,(AA22+AB22+AC22+AD22+AE22+AF22+AG22+AH22+AI22+AJ22+AK22+AL22)/(AA6+AB6+AC6+AD6+AE6+AF6+AG6+AH6+AI6+AJ6+AK6+AL6))</f>
        <v/>
      </c>
      <c r="BO23" s="219">
        <f>IF((AM6+AN6+AO6+AP6+AQ6+AR6+AS6+AT6+AU6+AV6+AW6+AX6)=0,0,(AM22+AN22+AO22+AP22+AQ22+AR22+AS22+AT22+AU22+AV22+AW22+AX22)/(AM6+AN6+AO6+AP6+AQ6+AR6+AS6+AT6+AU6+AV6+AW6+AX6))</f>
        <v/>
      </c>
      <c r="BP23" s="219">
        <f>IF((AY6+AZ6+BA6+BB6+BC6+BD6+BE6+BF6+BG6+BH6+BI6+BJ6)=0,0,(AY22+AZ22+BA22+BB22+BC22+BD22+BE22+BF22+BG22+BH22+BI22+BJ22)/(AY6+AZ6+BA6+BB6+BC6+BD6+BE6+BF6+BG6+BH6+BI6+BJ6))</f>
        <v/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12.xml><?xml version="1.0" encoding="utf-8"?>
<worksheet xmlns="http://schemas.openxmlformats.org/spreadsheetml/2006/main">
  <sheetPr filterMode="0">
    <tabColor rgb="FF5B9BD5"/>
    <outlinePr summaryBelow="1" summaryRight="1"/>
    <pageSetUpPr fitToPage="0"/>
  </sheetPr>
  <dimension ref="A1:BP2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baseColWidth="8" defaultColWidth="8.71484375" defaultRowHeight="15" zeroHeight="0" outlineLevelRow="0"/>
  <cols>
    <col width="38" customWidth="1" style="103" min="1" max="1"/>
    <col width="9" customWidth="1" style="103" min="3" max="62"/>
    <col width="11" customWidth="1" style="103" min="64" max="68"/>
  </cols>
  <sheetData>
    <row r="1" ht="19.5" customHeight="1" s="104">
      <c r="A1" s="105" t="inlineStr">
        <is>
          <t>Add-On 4 – Monthly P&amp;L ($mm)</t>
        </is>
      </c>
    </row>
    <row r="3" ht="15" customHeight="1" s="104">
      <c r="A3" s="116" t="inlineStr">
        <is>
          <t>($mm)</t>
        </is>
      </c>
      <c r="C3" s="149" t="inlineStr">
        <is>
          <t>Oct-26</t>
        </is>
      </c>
      <c r="D3" s="149" t="inlineStr">
        <is>
          <t>Nov-26</t>
        </is>
      </c>
      <c r="E3" s="149" t="inlineStr">
        <is>
          <t>Dec-26</t>
        </is>
      </c>
      <c r="F3" s="149" t="inlineStr">
        <is>
          <t>Jan-27</t>
        </is>
      </c>
      <c r="G3" s="149" t="inlineStr">
        <is>
          <t>Feb-27</t>
        </is>
      </c>
      <c r="H3" s="149" t="inlineStr">
        <is>
          <t>Mar-27</t>
        </is>
      </c>
      <c r="I3" s="149" t="inlineStr">
        <is>
          <t>Apr-27</t>
        </is>
      </c>
      <c r="J3" s="149" t="inlineStr">
        <is>
          <t>May-27</t>
        </is>
      </c>
      <c r="K3" s="149" t="inlineStr">
        <is>
          <t>Jun-27</t>
        </is>
      </c>
      <c r="L3" s="149" t="inlineStr">
        <is>
          <t>Jul-27</t>
        </is>
      </c>
      <c r="M3" s="149" t="inlineStr">
        <is>
          <t>Aug-27</t>
        </is>
      </c>
      <c r="N3" s="149" t="inlineStr">
        <is>
          <t>Sep-27</t>
        </is>
      </c>
      <c r="O3" s="149" t="inlineStr">
        <is>
          <t>Oct-27</t>
        </is>
      </c>
      <c r="P3" s="149" t="inlineStr">
        <is>
          <t>Nov-27</t>
        </is>
      </c>
      <c r="Q3" s="149" t="inlineStr">
        <is>
          <t>Dec-27</t>
        </is>
      </c>
      <c r="R3" s="149" t="inlineStr">
        <is>
          <t>Jan-28</t>
        </is>
      </c>
      <c r="S3" s="149" t="inlineStr">
        <is>
          <t>Feb-28</t>
        </is>
      </c>
      <c r="T3" s="149" t="inlineStr">
        <is>
          <t>Mar-28</t>
        </is>
      </c>
      <c r="U3" s="149" t="inlineStr">
        <is>
          <t>Apr-28</t>
        </is>
      </c>
      <c r="V3" s="149" t="inlineStr">
        <is>
          <t>May-28</t>
        </is>
      </c>
      <c r="W3" s="149" t="inlineStr">
        <is>
          <t>Jun-28</t>
        </is>
      </c>
      <c r="X3" s="149" t="inlineStr">
        <is>
          <t>Jul-28</t>
        </is>
      </c>
      <c r="Y3" s="149" t="inlineStr">
        <is>
          <t>Aug-28</t>
        </is>
      </c>
      <c r="Z3" s="149" t="inlineStr">
        <is>
          <t>Sep-28</t>
        </is>
      </c>
      <c r="AA3" s="149" t="inlineStr">
        <is>
          <t>Oct-28</t>
        </is>
      </c>
      <c r="AB3" s="149" t="inlineStr">
        <is>
          <t>Nov-28</t>
        </is>
      </c>
      <c r="AC3" s="149" t="inlineStr">
        <is>
          <t>Dec-28</t>
        </is>
      </c>
      <c r="AD3" s="149" t="inlineStr">
        <is>
          <t>Jan-29</t>
        </is>
      </c>
      <c r="AE3" s="149" t="inlineStr">
        <is>
          <t>Feb-29</t>
        </is>
      </c>
      <c r="AF3" s="149" t="inlineStr">
        <is>
          <t>Mar-29</t>
        </is>
      </c>
      <c r="AG3" s="149" t="inlineStr">
        <is>
          <t>Apr-29</t>
        </is>
      </c>
      <c r="AH3" s="149" t="inlineStr">
        <is>
          <t>May-29</t>
        </is>
      </c>
      <c r="AI3" s="149" t="inlineStr">
        <is>
          <t>Jun-29</t>
        </is>
      </c>
      <c r="AJ3" s="149" t="inlineStr">
        <is>
          <t>Jul-29</t>
        </is>
      </c>
      <c r="AK3" s="149" t="inlineStr">
        <is>
          <t>Aug-29</t>
        </is>
      </c>
      <c r="AL3" s="149" t="inlineStr">
        <is>
          <t>Sep-29</t>
        </is>
      </c>
      <c r="AM3" s="149" t="inlineStr">
        <is>
          <t>Oct-29</t>
        </is>
      </c>
      <c r="AN3" s="149" t="inlineStr">
        <is>
          <t>Nov-29</t>
        </is>
      </c>
      <c r="AO3" s="149" t="inlineStr">
        <is>
          <t>Dec-29</t>
        </is>
      </c>
      <c r="AP3" s="149" t="inlineStr">
        <is>
          <t>Jan-30</t>
        </is>
      </c>
      <c r="AQ3" s="149" t="inlineStr">
        <is>
          <t>Feb-30</t>
        </is>
      </c>
      <c r="AR3" s="149" t="inlineStr">
        <is>
          <t>Mar-30</t>
        </is>
      </c>
      <c r="AS3" s="149" t="inlineStr">
        <is>
          <t>Apr-30</t>
        </is>
      </c>
      <c r="AT3" s="149" t="inlineStr">
        <is>
          <t>May-30</t>
        </is>
      </c>
      <c r="AU3" s="149" t="inlineStr">
        <is>
          <t>Jun-30</t>
        </is>
      </c>
      <c r="AV3" s="149" t="inlineStr">
        <is>
          <t>Jul-30</t>
        </is>
      </c>
      <c r="AW3" s="149" t="inlineStr">
        <is>
          <t>Aug-30</t>
        </is>
      </c>
      <c r="AX3" s="149" t="inlineStr">
        <is>
          <t>Sep-30</t>
        </is>
      </c>
      <c r="AY3" s="149" t="inlineStr">
        <is>
          <t>Oct-30</t>
        </is>
      </c>
      <c r="AZ3" s="149" t="inlineStr">
        <is>
          <t>Nov-30</t>
        </is>
      </c>
      <c r="BA3" s="149" t="inlineStr">
        <is>
          <t>Dec-30</t>
        </is>
      </c>
      <c r="BB3" s="149" t="inlineStr">
        <is>
          <t>Jan-31</t>
        </is>
      </c>
      <c r="BC3" s="149" t="inlineStr">
        <is>
          <t>Feb-31</t>
        </is>
      </c>
      <c r="BD3" s="149" t="inlineStr">
        <is>
          <t>Mar-31</t>
        </is>
      </c>
      <c r="BE3" s="149" t="inlineStr">
        <is>
          <t>Apr-31</t>
        </is>
      </c>
      <c r="BF3" s="149" t="inlineStr">
        <is>
          <t>May-31</t>
        </is>
      </c>
      <c r="BG3" s="149" t="inlineStr">
        <is>
          <t>Jun-31</t>
        </is>
      </c>
      <c r="BH3" s="149" t="inlineStr">
        <is>
          <t>Jul-31</t>
        </is>
      </c>
      <c r="BI3" s="149" t="inlineStr">
        <is>
          <t>Aug-31</t>
        </is>
      </c>
      <c r="BJ3" s="149" t="inlineStr">
        <is>
          <t>Sep-31</t>
        </is>
      </c>
      <c r="BL3" s="150" t="inlineStr">
        <is>
          <t>FY1</t>
        </is>
      </c>
      <c r="BM3" s="150" t="inlineStr">
        <is>
          <t>FY2</t>
        </is>
      </c>
      <c r="BN3" s="150" t="inlineStr">
        <is>
          <t>FY3</t>
        </is>
      </c>
      <c r="BO3" s="150" t="inlineStr">
        <is>
          <t>FY4</t>
        </is>
      </c>
      <c r="BP3" s="150" t="inlineStr">
        <is>
          <t>FY5</t>
        </is>
      </c>
    </row>
    <row r="4" ht="15" customHeight="1" s="104">
      <c r="A4" s="213" t="inlineStr">
        <is>
          <t>Active (1=Yes)</t>
        </is>
      </c>
      <c r="C4" s="220">
        <f>IF(Assumptions!B54="",0,IF(IFERROR(DATEVALUE(TEXT(Assumptions!B54,"MM/DD/YYYY")),0)&lt;=DATE(2026,10,31),1,0))</f>
        <v/>
      </c>
      <c r="D4" s="220">
        <f>IF(Assumptions!B54="",0,IF(IFERROR(DATEVALUE(TEXT(Assumptions!B54,"MM/DD/YYYY")),0)&lt;=DATE(2026,11,30),1,0))</f>
        <v/>
      </c>
      <c r="E4" s="220">
        <f>IF(Assumptions!B54="",0,IF(IFERROR(DATEVALUE(TEXT(Assumptions!B54,"MM/DD/YYYY")),0)&lt;=DATE(2026,12,31),1,0))</f>
        <v/>
      </c>
      <c r="F4" s="220">
        <f>IF(Assumptions!B54="",0,IF(IFERROR(DATEVALUE(TEXT(Assumptions!B54,"MM/DD/YYYY")),0)&lt;=DATE(2027,1,31),1,0))</f>
        <v/>
      </c>
      <c r="G4" s="220">
        <f>IF(Assumptions!B54="",0,IF(IFERROR(DATEVALUE(TEXT(Assumptions!B54,"MM/DD/YYYY")),0)&lt;=DATE(2027,2,28),1,0))</f>
        <v/>
      </c>
      <c r="H4" s="220">
        <f>IF(Assumptions!B54="",0,IF(IFERROR(DATEVALUE(TEXT(Assumptions!B54,"MM/DD/YYYY")),0)&lt;=DATE(2027,3,31),1,0))</f>
        <v/>
      </c>
      <c r="I4" s="220">
        <f>IF(Assumptions!B54="",0,IF(IFERROR(DATEVALUE(TEXT(Assumptions!B54,"MM/DD/YYYY")),0)&lt;=DATE(2027,4,30),1,0))</f>
        <v/>
      </c>
      <c r="J4" s="220">
        <f>IF(Assumptions!B54="",0,IF(IFERROR(DATEVALUE(TEXT(Assumptions!B54,"MM/DD/YYYY")),0)&lt;=DATE(2027,5,31),1,0))</f>
        <v/>
      </c>
      <c r="K4" s="220">
        <f>IF(Assumptions!B54="",0,IF(IFERROR(DATEVALUE(TEXT(Assumptions!B54,"MM/DD/YYYY")),0)&lt;=DATE(2027,6,30),1,0))</f>
        <v/>
      </c>
      <c r="L4" s="220">
        <f>IF(Assumptions!B54="",0,IF(IFERROR(DATEVALUE(TEXT(Assumptions!B54,"MM/DD/YYYY")),0)&lt;=DATE(2027,7,31),1,0))</f>
        <v/>
      </c>
      <c r="M4" s="220">
        <f>IF(Assumptions!B54="",0,IF(IFERROR(DATEVALUE(TEXT(Assumptions!B54,"MM/DD/YYYY")),0)&lt;=DATE(2027,8,31),1,0))</f>
        <v/>
      </c>
      <c r="N4" s="220">
        <f>IF(Assumptions!B54="",0,IF(IFERROR(DATEVALUE(TEXT(Assumptions!B54,"MM/DD/YYYY")),0)&lt;=DATE(2027,9,30),1,0))</f>
        <v/>
      </c>
      <c r="O4" s="220">
        <f>IF(Assumptions!B54="",0,IF(IFERROR(DATEVALUE(TEXT(Assumptions!B54,"MM/DD/YYYY")),0)&lt;=DATE(2027,10,31),1,0))</f>
        <v/>
      </c>
      <c r="P4" s="220">
        <f>IF(Assumptions!B54="",0,IF(IFERROR(DATEVALUE(TEXT(Assumptions!B54,"MM/DD/YYYY")),0)&lt;=DATE(2027,11,30),1,0))</f>
        <v/>
      </c>
      <c r="Q4" s="220">
        <f>IF(Assumptions!B54="",0,IF(IFERROR(DATEVALUE(TEXT(Assumptions!B54,"MM/DD/YYYY")),0)&lt;=DATE(2027,12,31),1,0))</f>
        <v/>
      </c>
      <c r="R4" s="220">
        <f>IF(Assumptions!B54="",0,IF(IFERROR(DATEVALUE(TEXT(Assumptions!B54,"MM/DD/YYYY")),0)&lt;=DATE(2028,1,31),1,0))</f>
        <v/>
      </c>
      <c r="S4" s="220">
        <f>IF(Assumptions!B54="",0,IF(IFERROR(DATEVALUE(TEXT(Assumptions!B54,"MM/DD/YYYY")),0)&lt;=DATE(2028,2,29),1,0))</f>
        <v/>
      </c>
      <c r="T4" s="220">
        <f>IF(Assumptions!B54="",0,IF(IFERROR(DATEVALUE(TEXT(Assumptions!B54,"MM/DD/YYYY")),0)&lt;=DATE(2028,3,31),1,0))</f>
        <v/>
      </c>
      <c r="U4" s="220">
        <f>IF(Assumptions!B54="",0,IF(IFERROR(DATEVALUE(TEXT(Assumptions!B54,"MM/DD/YYYY")),0)&lt;=DATE(2028,4,30),1,0))</f>
        <v/>
      </c>
      <c r="V4" s="220">
        <f>IF(Assumptions!B54="",0,IF(IFERROR(DATEVALUE(TEXT(Assumptions!B54,"MM/DD/YYYY")),0)&lt;=DATE(2028,5,31),1,0))</f>
        <v/>
      </c>
      <c r="W4" s="220">
        <f>IF(Assumptions!B54="",0,IF(IFERROR(DATEVALUE(TEXT(Assumptions!B54,"MM/DD/YYYY")),0)&lt;=DATE(2028,6,30),1,0))</f>
        <v/>
      </c>
      <c r="X4" s="220">
        <f>IF(Assumptions!B54="",0,IF(IFERROR(DATEVALUE(TEXT(Assumptions!B54,"MM/DD/YYYY")),0)&lt;=DATE(2028,7,31),1,0))</f>
        <v/>
      </c>
      <c r="Y4" s="220">
        <f>IF(Assumptions!B54="",0,IF(IFERROR(DATEVALUE(TEXT(Assumptions!B54,"MM/DD/YYYY")),0)&lt;=DATE(2028,8,31),1,0))</f>
        <v/>
      </c>
      <c r="Z4" s="220">
        <f>IF(Assumptions!B54="",0,IF(IFERROR(DATEVALUE(TEXT(Assumptions!B54,"MM/DD/YYYY")),0)&lt;=DATE(2028,9,30),1,0))</f>
        <v/>
      </c>
      <c r="AA4" s="220">
        <f>IF(Assumptions!B54="",0,IF(IFERROR(DATEVALUE(TEXT(Assumptions!B54,"MM/DD/YYYY")),0)&lt;=DATE(2028,10,31),1,0))</f>
        <v/>
      </c>
      <c r="AB4" s="220">
        <f>IF(Assumptions!B54="",0,IF(IFERROR(DATEVALUE(TEXT(Assumptions!B54,"MM/DD/YYYY")),0)&lt;=DATE(2028,11,30),1,0))</f>
        <v/>
      </c>
      <c r="AC4" s="220">
        <f>IF(Assumptions!B54="",0,IF(IFERROR(DATEVALUE(TEXT(Assumptions!B54,"MM/DD/YYYY")),0)&lt;=DATE(2028,12,31),1,0))</f>
        <v/>
      </c>
      <c r="AD4" s="220">
        <f>IF(Assumptions!B54="",0,IF(IFERROR(DATEVALUE(TEXT(Assumptions!B54,"MM/DD/YYYY")),0)&lt;=DATE(2029,1,31),1,0))</f>
        <v/>
      </c>
      <c r="AE4" s="220">
        <f>IF(Assumptions!B54="",0,IF(IFERROR(DATEVALUE(TEXT(Assumptions!B54,"MM/DD/YYYY")),0)&lt;=DATE(2029,2,28),1,0))</f>
        <v/>
      </c>
      <c r="AF4" s="220">
        <f>IF(Assumptions!B54="",0,IF(IFERROR(DATEVALUE(TEXT(Assumptions!B54,"MM/DD/YYYY")),0)&lt;=DATE(2029,3,31),1,0))</f>
        <v/>
      </c>
      <c r="AG4" s="220">
        <f>IF(Assumptions!B54="",0,IF(IFERROR(DATEVALUE(TEXT(Assumptions!B54,"MM/DD/YYYY")),0)&lt;=DATE(2029,4,30),1,0))</f>
        <v/>
      </c>
      <c r="AH4" s="220">
        <f>IF(Assumptions!B54="",0,IF(IFERROR(DATEVALUE(TEXT(Assumptions!B54,"MM/DD/YYYY")),0)&lt;=DATE(2029,5,31),1,0))</f>
        <v/>
      </c>
      <c r="AI4" s="220">
        <f>IF(Assumptions!B54="",0,IF(IFERROR(DATEVALUE(TEXT(Assumptions!B54,"MM/DD/YYYY")),0)&lt;=DATE(2029,6,30),1,0))</f>
        <v/>
      </c>
      <c r="AJ4" s="220">
        <f>IF(Assumptions!B54="",0,IF(IFERROR(DATEVALUE(TEXT(Assumptions!B54,"MM/DD/YYYY")),0)&lt;=DATE(2029,7,31),1,0))</f>
        <v/>
      </c>
      <c r="AK4" s="220">
        <f>IF(Assumptions!B54="",0,IF(IFERROR(DATEVALUE(TEXT(Assumptions!B54,"MM/DD/YYYY")),0)&lt;=DATE(2029,8,31),1,0))</f>
        <v/>
      </c>
      <c r="AL4" s="220">
        <f>IF(Assumptions!B54="",0,IF(IFERROR(DATEVALUE(TEXT(Assumptions!B54,"MM/DD/YYYY")),0)&lt;=DATE(2029,9,30),1,0))</f>
        <v/>
      </c>
      <c r="AM4" s="220">
        <f>IF(Assumptions!B54="",0,IF(IFERROR(DATEVALUE(TEXT(Assumptions!B54,"MM/DD/YYYY")),0)&lt;=DATE(2029,10,31),1,0))</f>
        <v/>
      </c>
      <c r="AN4" s="220">
        <f>IF(Assumptions!B54="",0,IF(IFERROR(DATEVALUE(TEXT(Assumptions!B54,"MM/DD/YYYY")),0)&lt;=DATE(2029,11,30),1,0))</f>
        <v/>
      </c>
      <c r="AO4" s="220">
        <f>IF(Assumptions!B54="",0,IF(IFERROR(DATEVALUE(TEXT(Assumptions!B54,"MM/DD/YYYY")),0)&lt;=DATE(2029,12,31),1,0))</f>
        <v/>
      </c>
      <c r="AP4" s="220">
        <f>IF(Assumptions!B54="",0,IF(IFERROR(DATEVALUE(TEXT(Assumptions!B54,"MM/DD/YYYY")),0)&lt;=DATE(2030,1,31),1,0))</f>
        <v/>
      </c>
      <c r="AQ4" s="220">
        <f>IF(Assumptions!B54="",0,IF(IFERROR(DATEVALUE(TEXT(Assumptions!B54,"MM/DD/YYYY")),0)&lt;=DATE(2030,2,28),1,0))</f>
        <v/>
      </c>
      <c r="AR4" s="220">
        <f>IF(Assumptions!B54="",0,IF(IFERROR(DATEVALUE(TEXT(Assumptions!B54,"MM/DD/YYYY")),0)&lt;=DATE(2030,3,31),1,0))</f>
        <v/>
      </c>
      <c r="AS4" s="220">
        <f>IF(Assumptions!B54="",0,IF(IFERROR(DATEVALUE(TEXT(Assumptions!B54,"MM/DD/YYYY")),0)&lt;=DATE(2030,4,30),1,0))</f>
        <v/>
      </c>
      <c r="AT4" s="220">
        <f>IF(Assumptions!B54="",0,IF(IFERROR(DATEVALUE(TEXT(Assumptions!B54,"MM/DD/YYYY")),0)&lt;=DATE(2030,5,31),1,0))</f>
        <v/>
      </c>
      <c r="AU4" s="220">
        <f>IF(Assumptions!B54="",0,IF(IFERROR(DATEVALUE(TEXT(Assumptions!B54,"MM/DD/YYYY")),0)&lt;=DATE(2030,6,30),1,0))</f>
        <v/>
      </c>
      <c r="AV4" s="220">
        <f>IF(Assumptions!B54="",0,IF(IFERROR(DATEVALUE(TEXT(Assumptions!B54,"MM/DD/YYYY")),0)&lt;=DATE(2030,7,31),1,0))</f>
        <v/>
      </c>
      <c r="AW4" s="220">
        <f>IF(Assumptions!B54="",0,IF(IFERROR(DATEVALUE(TEXT(Assumptions!B54,"MM/DD/YYYY")),0)&lt;=DATE(2030,8,31),1,0))</f>
        <v/>
      </c>
      <c r="AX4" s="220">
        <f>IF(Assumptions!B54="",0,IF(IFERROR(DATEVALUE(TEXT(Assumptions!B54,"MM/DD/YYYY")),0)&lt;=DATE(2030,9,30),1,0))</f>
        <v/>
      </c>
      <c r="AY4" s="220">
        <f>IF(Assumptions!B54="",0,IF(IFERROR(DATEVALUE(TEXT(Assumptions!B54,"MM/DD/YYYY")),0)&lt;=DATE(2030,10,31),1,0))</f>
        <v/>
      </c>
      <c r="AZ4" s="220">
        <f>IF(Assumptions!B54="",0,IF(IFERROR(DATEVALUE(TEXT(Assumptions!B54,"MM/DD/YYYY")),0)&lt;=DATE(2030,11,30),1,0))</f>
        <v/>
      </c>
      <c r="BA4" s="220">
        <f>IF(Assumptions!B54="",0,IF(IFERROR(DATEVALUE(TEXT(Assumptions!B54,"MM/DD/YYYY")),0)&lt;=DATE(2030,12,31),1,0))</f>
        <v/>
      </c>
      <c r="BB4" s="220">
        <f>IF(Assumptions!B54="",0,IF(IFERROR(DATEVALUE(TEXT(Assumptions!B54,"MM/DD/YYYY")),0)&lt;=DATE(2031,1,31),1,0))</f>
        <v/>
      </c>
      <c r="BC4" s="220">
        <f>IF(Assumptions!B54="",0,IF(IFERROR(DATEVALUE(TEXT(Assumptions!B54,"MM/DD/YYYY")),0)&lt;=DATE(2031,2,28),1,0))</f>
        <v/>
      </c>
      <c r="BD4" s="220">
        <f>IF(Assumptions!B54="",0,IF(IFERROR(DATEVALUE(TEXT(Assumptions!B54,"MM/DD/YYYY")),0)&lt;=DATE(2031,3,31),1,0))</f>
        <v/>
      </c>
      <c r="BE4" s="220">
        <f>IF(Assumptions!B54="",0,IF(IFERROR(DATEVALUE(TEXT(Assumptions!B54,"MM/DD/YYYY")),0)&lt;=DATE(2031,4,30),1,0))</f>
        <v/>
      </c>
      <c r="BF4" s="220">
        <f>IF(Assumptions!B54="",0,IF(IFERROR(DATEVALUE(TEXT(Assumptions!B54,"MM/DD/YYYY")),0)&lt;=DATE(2031,5,31),1,0))</f>
        <v/>
      </c>
      <c r="BG4" s="220">
        <f>IF(Assumptions!B54="",0,IF(IFERROR(DATEVALUE(TEXT(Assumptions!B54,"MM/DD/YYYY")),0)&lt;=DATE(2031,6,30),1,0))</f>
        <v/>
      </c>
      <c r="BH4" s="220">
        <f>IF(Assumptions!B54="",0,IF(IFERROR(DATEVALUE(TEXT(Assumptions!B54,"MM/DD/YYYY")),0)&lt;=DATE(2031,7,31),1,0))</f>
        <v/>
      </c>
      <c r="BI4" s="220">
        <f>IF(Assumptions!B54="",0,IF(IFERROR(DATEVALUE(TEXT(Assumptions!B54,"MM/DD/YYYY")),0)&lt;=DATE(2031,8,31),1,0))</f>
        <v/>
      </c>
      <c r="BJ4" s="220">
        <f>IF(Assumptions!B54="",0,IF(IFERROR(DATEVALUE(TEXT(Assumptions!B54,"MM/DD/YYYY")),0)&lt;=DATE(2031,9,30),1,0))</f>
        <v/>
      </c>
    </row>
    <row r="5" ht="15" customHeight="1" s="104">
      <c r="A5" s="106" t="inlineStr">
        <is>
          <t>REVENUE</t>
        </is>
      </c>
    </row>
    <row r="6" ht="15" customHeight="1" s="104">
      <c r="A6" s="116" t="inlineStr">
        <is>
          <t>Monthly Revenue</t>
        </is>
      </c>
      <c r="C6" s="151">
        <f>IF(C4=0,0,(Assumptions!C54/12))</f>
        <v/>
      </c>
      <c r="D6" s="151">
        <f>IF(D4=0,0,(Assumptions!C54/12)*POWER(1+Assumptions!B17,1/12))</f>
        <v/>
      </c>
      <c r="E6" s="151">
        <f>IF(E4=0,0,(Assumptions!C54/12)*POWER(1+Assumptions!B17,2/12))</f>
        <v/>
      </c>
      <c r="F6" s="151">
        <f>IF(F4=0,0,(Assumptions!C54/12)*POWER(1+Assumptions!B17,3/12))</f>
        <v/>
      </c>
      <c r="G6" s="151">
        <f>IF(G4=0,0,(Assumptions!C54/12)*POWER(1+Assumptions!B17,4/12))</f>
        <v/>
      </c>
      <c r="H6" s="151">
        <f>IF(H4=0,0,(Assumptions!C54/12)*POWER(1+Assumptions!B17,5/12))</f>
        <v/>
      </c>
      <c r="I6" s="151">
        <f>IF(I4=0,0,(Assumptions!C54/12)*POWER(1+Assumptions!B17,6/12))</f>
        <v/>
      </c>
      <c r="J6" s="151">
        <f>IF(J4=0,0,(Assumptions!C54/12)*POWER(1+Assumptions!B17,7/12))</f>
        <v/>
      </c>
      <c r="K6" s="151">
        <f>IF(K4=0,0,(Assumptions!C54/12)*POWER(1+Assumptions!B17,8/12))</f>
        <v/>
      </c>
      <c r="L6" s="151">
        <f>IF(L4=0,0,(Assumptions!C54/12)*POWER(1+Assumptions!B17,9/12))</f>
        <v/>
      </c>
      <c r="M6" s="151">
        <f>IF(M4=0,0,(Assumptions!C54/12)*POWER(1+Assumptions!B17,10/12))</f>
        <v/>
      </c>
      <c r="N6" s="151">
        <f>IF(N4=0,0,(Assumptions!C54/12)*POWER(1+Assumptions!B17,11/12))</f>
        <v/>
      </c>
      <c r="O6" s="151">
        <f>IF(O4=0,0,(Assumptions!C54*(1+Assumptions!B17)/12))</f>
        <v/>
      </c>
      <c r="P6" s="151">
        <f>IF(P4=0,0,(Assumptions!C54*(1+Assumptions!B17)/12)*POWER(1+Assumptions!B18,1/12))</f>
        <v/>
      </c>
      <c r="Q6" s="151">
        <f>IF(Q4=0,0,(Assumptions!C54*(1+Assumptions!B17)/12)*POWER(1+Assumptions!B18,2/12))</f>
        <v/>
      </c>
      <c r="R6" s="151">
        <f>IF(R4=0,0,(Assumptions!C54*(1+Assumptions!B17)/12)*POWER(1+Assumptions!B18,3/12))</f>
        <v/>
      </c>
      <c r="S6" s="151">
        <f>IF(S4=0,0,(Assumptions!C54*(1+Assumptions!B17)/12)*POWER(1+Assumptions!B18,4/12))</f>
        <v/>
      </c>
      <c r="T6" s="151">
        <f>IF(T4=0,0,(Assumptions!C54*(1+Assumptions!B17)/12)*POWER(1+Assumptions!B18,5/12))</f>
        <v/>
      </c>
      <c r="U6" s="151">
        <f>IF(U4=0,0,(Assumptions!C54*(1+Assumptions!B17)/12)*POWER(1+Assumptions!B18,6/12))</f>
        <v/>
      </c>
      <c r="V6" s="151">
        <f>IF(V4=0,0,(Assumptions!C54*(1+Assumptions!B17)/12)*POWER(1+Assumptions!B18,7/12))</f>
        <v/>
      </c>
      <c r="W6" s="151">
        <f>IF(W4=0,0,(Assumptions!C54*(1+Assumptions!B17)/12)*POWER(1+Assumptions!B18,8/12))</f>
        <v/>
      </c>
      <c r="X6" s="151">
        <f>IF(X4=0,0,(Assumptions!C54*(1+Assumptions!B17)/12)*POWER(1+Assumptions!B18,9/12))</f>
        <v/>
      </c>
      <c r="Y6" s="151">
        <f>IF(Y4=0,0,(Assumptions!C54*(1+Assumptions!B17)/12)*POWER(1+Assumptions!B18,10/12))</f>
        <v/>
      </c>
      <c r="Z6" s="151">
        <f>IF(Z4=0,0,(Assumptions!C54*(1+Assumptions!B17)/12)*POWER(1+Assumptions!B18,11/12))</f>
        <v/>
      </c>
      <c r="AA6" s="151">
        <f>IF(AA4=0,0,(Assumptions!C54*(1+Assumptions!B17)*(1+Assumptions!B18)/12))</f>
        <v/>
      </c>
      <c r="AB6" s="151">
        <f>IF(AB4=0,0,(Assumptions!C54*(1+Assumptions!B17)*(1+Assumptions!B18)/12)*POWER(1+Assumptions!B19,1/12))</f>
        <v/>
      </c>
      <c r="AC6" s="151">
        <f>IF(AC4=0,0,(Assumptions!C54*(1+Assumptions!B17)*(1+Assumptions!B18)/12)*POWER(1+Assumptions!B19,2/12))</f>
        <v/>
      </c>
      <c r="AD6" s="151">
        <f>IF(AD4=0,0,(Assumptions!C54*(1+Assumptions!B17)*(1+Assumptions!B18)/12)*POWER(1+Assumptions!B19,3/12))</f>
        <v/>
      </c>
      <c r="AE6" s="151">
        <f>IF(AE4=0,0,(Assumptions!C54*(1+Assumptions!B17)*(1+Assumptions!B18)/12)*POWER(1+Assumptions!B19,4/12))</f>
        <v/>
      </c>
      <c r="AF6" s="151">
        <f>IF(AF4=0,0,(Assumptions!C54*(1+Assumptions!B17)*(1+Assumptions!B18)/12)*POWER(1+Assumptions!B19,5/12))</f>
        <v/>
      </c>
      <c r="AG6" s="151">
        <f>IF(AG4=0,0,(Assumptions!C54*(1+Assumptions!B17)*(1+Assumptions!B18)/12)*POWER(1+Assumptions!B19,6/12))</f>
        <v/>
      </c>
      <c r="AH6" s="151">
        <f>IF(AH4=0,0,(Assumptions!C54*(1+Assumptions!B17)*(1+Assumptions!B18)/12)*POWER(1+Assumptions!B19,7/12))</f>
        <v/>
      </c>
      <c r="AI6" s="151">
        <f>IF(AI4=0,0,(Assumptions!C54*(1+Assumptions!B17)*(1+Assumptions!B18)/12)*POWER(1+Assumptions!B19,8/12))</f>
        <v/>
      </c>
      <c r="AJ6" s="151">
        <f>IF(AJ4=0,0,(Assumptions!C54*(1+Assumptions!B17)*(1+Assumptions!B18)/12)*POWER(1+Assumptions!B19,9/12))</f>
        <v/>
      </c>
      <c r="AK6" s="151">
        <f>IF(AK4=0,0,(Assumptions!C54*(1+Assumptions!B17)*(1+Assumptions!B18)/12)*POWER(1+Assumptions!B19,10/12))</f>
        <v/>
      </c>
      <c r="AL6" s="151">
        <f>IF(AL4=0,0,(Assumptions!C54*(1+Assumptions!B17)*(1+Assumptions!B18)/12)*POWER(1+Assumptions!B19,11/12))</f>
        <v/>
      </c>
      <c r="AM6" s="151">
        <f>IF(AM4=0,0,(Assumptions!C54*(1+Assumptions!B17)*(1+Assumptions!B18)*(1+Assumptions!B19)/12))</f>
        <v/>
      </c>
      <c r="AN6" s="151">
        <f>IF(AN4=0,0,(Assumptions!C54*(1+Assumptions!B17)*(1+Assumptions!B18)*(1+Assumptions!B19)/12)*POWER(1+Assumptions!B20,1/12))</f>
        <v/>
      </c>
      <c r="AO6" s="151">
        <f>IF(AO4=0,0,(Assumptions!C54*(1+Assumptions!B17)*(1+Assumptions!B18)*(1+Assumptions!B19)/12)*POWER(1+Assumptions!B20,2/12))</f>
        <v/>
      </c>
      <c r="AP6" s="151">
        <f>IF(AP4=0,0,(Assumptions!C54*(1+Assumptions!B17)*(1+Assumptions!B18)*(1+Assumptions!B19)/12)*POWER(1+Assumptions!B20,3/12))</f>
        <v/>
      </c>
      <c r="AQ6" s="151">
        <f>IF(AQ4=0,0,(Assumptions!C54*(1+Assumptions!B17)*(1+Assumptions!B18)*(1+Assumptions!B19)/12)*POWER(1+Assumptions!B20,4/12))</f>
        <v/>
      </c>
      <c r="AR6" s="151">
        <f>IF(AR4=0,0,(Assumptions!C54*(1+Assumptions!B17)*(1+Assumptions!B18)*(1+Assumptions!B19)/12)*POWER(1+Assumptions!B20,5/12))</f>
        <v/>
      </c>
      <c r="AS6" s="151">
        <f>IF(AS4=0,0,(Assumptions!C54*(1+Assumptions!B17)*(1+Assumptions!B18)*(1+Assumptions!B19)/12)*POWER(1+Assumptions!B20,6/12))</f>
        <v/>
      </c>
      <c r="AT6" s="151">
        <f>IF(AT4=0,0,(Assumptions!C54*(1+Assumptions!B17)*(1+Assumptions!B18)*(1+Assumptions!B19)/12)*POWER(1+Assumptions!B20,7/12))</f>
        <v/>
      </c>
      <c r="AU6" s="151">
        <f>IF(AU4=0,0,(Assumptions!C54*(1+Assumptions!B17)*(1+Assumptions!B18)*(1+Assumptions!B19)/12)*POWER(1+Assumptions!B20,8/12))</f>
        <v/>
      </c>
      <c r="AV6" s="151">
        <f>IF(AV4=0,0,(Assumptions!C54*(1+Assumptions!B17)*(1+Assumptions!B18)*(1+Assumptions!B19)/12)*POWER(1+Assumptions!B20,9/12))</f>
        <v/>
      </c>
      <c r="AW6" s="151">
        <f>IF(AW4=0,0,(Assumptions!C54*(1+Assumptions!B17)*(1+Assumptions!B18)*(1+Assumptions!B19)/12)*POWER(1+Assumptions!B20,10/12))</f>
        <v/>
      </c>
      <c r="AX6" s="151">
        <f>IF(AX4=0,0,(Assumptions!C54*(1+Assumptions!B17)*(1+Assumptions!B18)*(1+Assumptions!B19)/12)*POWER(1+Assumptions!B20,11/12))</f>
        <v/>
      </c>
      <c r="AY6" s="151">
        <f>IF(AY4=0,0,(Assumptions!C54*(1+Assumptions!B17)*(1+Assumptions!B18)*(1+Assumptions!B19)*(1+Assumptions!B20)/12))</f>
        <v/>
      </c>
      <c r="AZ6" s="151">
        <f>IF(AZ4=0,0,(Assumptions!C54*(1+Assumptions!B17)*(1+Assumptions!B18)*(1+Assumptions!B19)*(1+Assumptions!B20)/12)*POWER(1+Assumptions!B21,1/12))</f>
        <v/>
      </c>
      <c r="BA6" s="151">
        <f>IF(BA4=0,0,(Assumptions!C54*(1+Assumptions!B17)*(1+Assumptions!B18)*(1+Assumptions!B19)*(1+Assumptions!B20)/12)*POWER(1+Assumptions!B21,2/12))</f>
        <v/>
      </c>
      <c r="BB6" s="151">
        <f>IF(BB4=0,0,(Assumptions!C54*(1+Assumptions!B17)*(1+Assumptions!B18)*(1+Assumptions!B19)*(1+Assumptions!B20)/12)*POWER(1+Assumptions!B21,3/12))</f>
        <v/>
      </c>
      <c r="BC6" s="151">
        <f>IF(BC4=0,0,(Assumptions!C54*(1+Assumptions!B17)*(1+Assumptions!B18)*(1+Assumptions!B19)*(1+Assumptions!B20)/12)*POWER(1+Assumptions!B21,4/12))</f>
        <v/>
      </c>
      <c r="BD6" s="151">
        <f>IF(BD4=0,0,(Assumptions!C54*(1+Assumptions!B17)*(1+Assumptions!B18)*(1+Assumptions!B19)*(1+Assumptions!B20)/12)*POWER(1+Assumptions!B21,5/12))</f>
        <v/>
      </c>
      <c r="BE6" s="151">
        <f>IF(BE4=0,0,(Assumptions!C54*(1+Assumptions!B17)*(1+Assumptions!B18)*(1+Assumptions!B19)*(1+Assumptions!B20)/12)*POWER(1+Assumptions!B21,6/12))</f>
        <v/>
      </c>
      <c r="BF6" s="151">
        <f>IF(BF4=0,0,(Assumptions!C54*(1+Assumptions!B17)*(1+Assumptions!B18)*(1+Assumptions!B19)*(1+Assumptions!B20)/12)*POWER(1+Assumptions!B21,7/12))</f>
        <v/>
      </c>
      <c r="BG6" s="151">
        <f>IF(BG4=0,0,(Assumptions!C54*(1+Assumptions!B17)*(1+Assumptions!B18)*(1+Assumptions!B19)*(1+Assumptions!B20)/12)*POWER(1+Assumptions!B21,8/12))</f>
        <v/>
      </c>
      <c r="BH6" s="151">
        <f>IF(BH4=0,0,(Assumptions!C54*(1+Assumptions!B17)*(1+Assumptions!B18)*(1+Assumptions!B19)*(1+Assumptions!B20)/12)*POWER(1+Assumptions!B21,9/12))</f>
        <v/>
      </c>
      <c r="BI6" s="151">
        <f>IF(BI4=0,0,(Assumptions!C54*(1+Assumptions!B17)*(1+Assumptions!B18)*(1+Assumptions!B19)*(1+Assumptions!B20)/12)*POWER(1+Assumptions!B21,10/12))</f>
        <v/>
      </c>
      <c r="BJ6" s="151">
        <f>IF(BJ4=0,0,(Assumptions!C54*(1+Assumptions!B17)*(1+Assumptions!B18)*(1+Assumptions!B19)*(1+Assumptions!B20)/12)*POWER(1+Assumptions!B21,11/12))</f>
        <v/>
      </c>
      <c r="BL6" s="152">
        <f>C6+D6+E6+F6+G6+H6+I6+J6+K6+L6+M6+N6</f>
        <v/>
      </c>
      <c r="BM6" s="152">
        <f>O6+P6+Q6+R6+S6+T6+U6+V6+W6+X6+Y6+Z6</f>
        <v/>
      </c>
      <c r="BN6" s="152">
        <f>AA6+AB6+AC6+AD6+AE6+AF6+AG6+AH6+AI6+AJ6+AK6+AL6</f>
        <v/>
      </c>
      <c r="BO6" s="152">
        <f>AM6+AN6+AO6+AP6+AQ6+AR6+AS6+AT6+AU6+AV6+AW6+AX6</f>
        <v/>
      </c>
      <c r="BP6" s="152">
        <f>AY6+AZ6+BA6+BB6+BC6+BD6+BE6+BF6+BG6+BH6+BI6+BJ6</f>
        <v/>
      </c>
    </row>
    <row r="7" ht="15" customHeight="1" s="104">
      <c r="A7" s="106" t="inlineStr">
        <is>
          <t>OPERATING EXPENSES</t>
        </is>
      </c>
    </row>
    <row r="8" ht="15" customHeight="1" s="104">
      <c r="A8" s="107" t="inlineStr">
        <is>
          <t>Attorney Compensation</t>
        </is>
      </c>
      <c r="C8" s="156">
        <f>C6*(Assumptions!B24+Assumptions!B25*0)</f>
        <v/>
      </c>
      <c r="D8" s="156">
        <f>D6*(Assumptions!B24+Assumptions!B25*0)</f>
        <v/>
      </c>
      <c r="E8" s="156">
        <f>E6*(Assumptions!B24+Assumptions!B25*0)</f>
        <v/>
      </c>
      <c r="F8" s="156">
        <f>F6*(Assumptions!B24+Assumptions!B25*0)</f>
        <v/>
      </c>
      <c r="G8" s="156">
        <f>G6*(Assumptions!B24+Assumptions!B25*0)</f>
        <v/>
      </c>
      <c r="H8" s="156">
        <f>H6*(Assumptions!B24+Assumptions!B25*0)</f>
        <v/>
      </c>
      <c r="I8" s="156">
        <f>I6*(Assumptions!B24+Assumptions!B25*0)</f>
        <v/>
      </c>
      <c r="J8" s="156">
        <f>J6*(Assumptions!B24+Assumptions!B25*0)</f>
        <v/>
      </c>
      <c r="K8" s="156">
        <f>K6*(Assumptions!B24+Assumptions!B25*0)</f>
        <v/>
      </c>
      <c r="L8" s="156">
        <f>L6*(Assumptions!B24+Assumptions!B25*0)</f>
        <v/>
      </c>
      <c r="M8" s="156">
        <f>M6*(Assumptions!B24+Assumptions!B25*0)</f>
        <v/>
      </c>
      <c r="N8" s="156">
        <f>N6*(Assumptions!B24+Assumptions!B25*0)</f>
        <v/>
      </c>
      <c r="O8" s="156">
        <f>O6*(Assumptions!B24+Assumptions!B25*1)</f>
        <v/>
      </c>
      <c r="P8" s="156">
        <f>P6*(Assumptions!B24+Assumptions!B25*1)</f>
        <v/>
      </c>
      <c r="Q8" s="156">
        <f>Q6*(Assumptions!B24+Assumptions!B25*1)</f>
        <v/>
      </c>
      <c r="R8" s="156">
        <f>R6*(Assumptions!B24+Assumptions!B25*1)</f>
        <v/>
      </c>
      <c r="S8" s="156">
        <f>S6*(Assumptions!B24+Assumptions!B25*1)</f>
        <v/>
      </c>
      <c r="T8" s="156">
        <f>T6*(Assumptions!B24+Assumptions!B25*1)</f>
        <v/>
      </c>
      <c r="U8" s="156">
        <f>U6*(Assumptions!B24+Assumptions!B25*1)</f>
        <v/>
      </c>
      <c r="V8" s="156">
        <f>V6*(Assumptions!B24+Assumptions!B25*1)</f>
        <v/>
      </c>
      <c r="W8" s="156">
        <f>W6*(Assumptions!B24+Assumptions!B25*1)</f>
        <v/>
      </c>
      <c r="X8" s="156">
        <f>X6*(Assumptions!B24+Assumptions!B25*1)</f>
        <v/>
      </c>
      <c r="Y8" s="156">
        <f>Y6*(Assumptions!B24+Assumptions!B25*1)</f>
        <v/>
      </c>
      <c r="Z8" s="156">
        <f>Z6*(Assumptions!B24+Assumptions!B25*1)</f>
        <v/>
      </c>
      <c r="AA8" s="156">
        <f>AA6*(Assumptions!B24+Assumptions!B25*2)</f>
        <v/>
      </c>
      <c r="AB8" s="156">
        <f>AB6*(Assumptions!B24+Assumptions!B25*2)</f>
        <v/>
      </c>
      <c r="AC8" s="156">
        <f>AC6*(Assumptions!B24+Assumptions!B25*2)</f>
        <v/>
      </c>
      <c r="AD8" s="156">
        <f>AD6*(Assumptions!B24+Assumptions!B25*2)</f>
        <v/>
      </c>
      <c r="AE8" s="156">
        <f>AE6*(Assumptions!B24+Assumptions!B25*2)</f>
        <v/>
      </c>
      <c r="AF8" s="156">
        <f>AF6*(Assumptions!B24+Assumptions!B25*2)</f>
        <v/>
      </c>
      <c r="AG8" s="156">
        <f>AG6*(Assumptions!B24+Assumptions!B25*2)</f>
        <v/>
      </c>
      <c r="AH8" s="156">
        <f>AH6*(Assumptions!B24+Assumptions!B25*2)</f>
        <v/>
      </c>
      <c r="AI8" s="156">
        <f>AI6*(Assumptions!B24+Assumptions!B25*2)</f>
        <v/>
      </c>
      <c r="AJ8" s="156">
        <f>AJ6*(Assumptions!B24+Assumptions!B25*2)</f>
        <v/>
      </c>
      <c r="AK8" s="156">
        <f>AK6*(Assumptions!B24+Assumptions!B25*2)</f>
        <v/>
      </c>
      <c r="AL8" s="156">
        <f>AL6*(Assumptions!B24+Assumptions!B25*2)</f>
        <v/>
      </c>
      <c r="AM8" s="156">
        <f>AM6*(Assumptions!B24+Assumptions!B25*3)</f>
        <v/>
      </c>
      <c r="AN8" s="156">
        <f>AN6*(Assumptions!B24+Assumptions!B25*3)</f>
        <v/>
      </c>
      <c r="AO8" s="156">
        <f>AO6*(Assumptions!B24+Assumptions!B25*3)</f>
        <v/>
      </c>
      <c r="AP8" s="156">
        <f>AP6*(Assumptions!B24+Assumptions!B25*3)</f>
        <v/>
      </c>
      <c r="AQ8" s="156">
        <f>AQ6*(Assumptions!B24+Assumptions!B25*3)</f>
        <v/>
      </c>
      <c r="AR8" s="156">
        <f>AR6*(Assumptions!B24+Assumptions!B25*3)</f>
        <v/>
      </c>
      <c r="AS8" s="156">
        <f>AS6*(Assumptions!B24+Assumptions!B25*3)</f>
        <v/>
      </c>
      <c r="AT8" s="156">
        <f>AT6*(Assumptions!B24+Assumptions!B25*3)</f>
        <v/>
      </c>
      <c r="AU8" s="156">
        <f>AU6*(Assumptions!B24+Assumptions!B25*3)</f>
        <v/>
      </c>
      <c r="AV8" s="156">
        <f>AV6*(Assumptions!B24+Assumptions!B25*3)</f>
        <v/>
      </c>
      <c r="AW8" s="156">
        <f>AW6*(Assumptions!B24+Assumptions!B25*3)</f>
        <v/>
      </c>
      <c r="AX8" s="156">
        <f>AX6*(Assumptions!B24+Assumptions!B25*3)</f>
        <v/>
      </c>
      <c r="AY8" s="156">
        <f>AY6*(Assumptions!B24+Assumptions!B25*4)</f>
        <v/>
      </c>
      <c r="AZ8" s="156">
        <f>AZ6*(Assumptions!B24+Assumptions!B25*4)</f>
        <v/>
      </c>
      <c r="BA8" s="156">
        <f>BA6*(Assumptions!B24+Assumptions!B25*4)</f>
        <v/>
      </c>
      <c r="BB8" s="156">
        <f>BB6*(Assumptions!B24+Assumptions!B25*4)</f>
        <v/>
      </c>
      <c r="BC8" s="156">
        <f>BC6*(Assumptions!B24+Assumptions!B25*4)</f>
        <v/>
      </c>
      <c r="BD8" s="156">
        <f>BD6*(Assumptions!B24+Assumptions!B25*4)</f>
        <v/>
      </c>
      <c r="BE8" s="156">
        <f>BE6*(Assumptions!B24+Assumptions!B25*4)</f>
        <v/>
      </c>
      <c r="BF8" s="156">
        <f>BF6*(Assumptions!B24+Assumptions!B25*4)</f>
        <v/>
      </c>
      <c r="BG8" s="156">
        <f>BG6*(Assumptions!B24+Assumptions!B25*4)</f>
        <v/>
      </c>
      <c r="BH8" s="156">
        <f>BH6*(Assumptions!B24+Assumptions!B25*4)</f>
        <v/>
      </c>
      <c r="BI8" s="156">
        <f>BI6*(Assumptions!B24+Assumptions!B25*4)</f>
        <v/>
      </c>
      <c r="BJ8" s="156">
        <f>BJ6*(Assumptions!B24+Assumptions!B25*4)</f>
        <v/>
      </c>
      <c r="BL8" s="157">
        <f>C8+D8+E8+F8+G8+H8+I8+J8+K8+L8+M8+N8</f>
        <v/>
      </c>
      <c r="BM8" s="157">
        <f>O8+P8+Q8+R8+S8+T8+U8+V8+W8+X8+Y8+Z8</f>
        <v/>
      </c>
      <c r="BN8" s="157">
        <f>AA8+AB8+AC8+AD8+AE8+AF8+AG8+AH8+AI8+AJ8+AK8+AL8</f>
        <v/>
      </c>
      <c r="BO8" s="157">
        <f>AM8+AN8+AO8+AP8+AQ8+AR8+AS8+AT8+AU8+AV8+AW8+AX8</f>
        <v/>
      </c>
      <c r="BP8" s="157">
        <f>AY8+AZ8+BA8+BB8+BC8+BD8+BE8+BF8+BG8+BH8+BI8+BJ8</f>
        <v/>
      </c>
    </row>
    <row r="9" ht="15" customHeight="1" s="104">
      <c r="A9" s="215" t="inlineStr">
        <is>
          <t xml:space="preserve">    % of Revenue</t>
        </is>
      </c>
      <c r="C9" s="216">
        <f>IF(C6=0,0,C8/C6)</f>
        <v/>
      </c>
      <c r="D9" s="216">
        <f>IF(D6=0,0,D8/D6)</f>
        <v/>
      </c>
      <c r="E9" s="216">
        <f>IF(E6=0,0,E8/E6)</f>
        <v/>
      </c>
      <c r="F9" s="216">
        <f>IF(F6=0,0,F8/F6)</f>
        <v/>
      </c>
      <c r="G9" s="216">
        <f>IF(G6=0,0,G8/G6)</f>
        <v/>
      </c>
      <c r="H9" s="216">
        <f>IF(H6=0,0,H8/H6)</f>
        <v/>
      </c>
      <c r="I9" s="216">
        <f>IF(I6=0,0,I8/I6)</f>
        <v/>
      </c>
      <c r="J9" s="216">
        <f>IF(J6=0,0,J8/J6)</f>
        <v/>
      </c>
      <c r="K9" s="216">
        <f>IF(K6=0,0,K8/K6)</f>
        <v/>
      </c>
      <c r="L9" s="216">
        <f>IF(L6=0,0,L8/L6)</f>
        <v/>
      </c>
      <c r="M9" s="216">
        <f>IF(M6=0,0,M8/M6)</f>
        <v/>
      </c>
      <c r="N9" s="216">
        <f>IF(N6=0,0,N8/N6)</f>
        <v/>
      </c>
      <c r="O9" s="216">
        <f>IF(O6=0,0,O8/O6)</f>
        <v/>
      </c>
      <c r="P9" s="216">
        <f>IF(P6=0,0,P8/P6)</f>
        <v/>
      </c>
      <c r="Q9" s="216">
        <f>IF(Q6=0,0,Q8/Q6)</f>
        <v/>
      </c>
      <c r="R9" s="216">
        <f>IF(R6=0,0,R8/R6)</f>
        <v/>
      </c>
      <c r="S9" s="216">
        <f>IF(S6=0,0,S8/S6)</f>
        <v/>
      </c>
      <c r="T9" s="216">
        <f>IF(T6=0,0,T8/T6)</f>
        <v/>
      </c>
      <c r="U9" s="216">
        <f>IF(U6=0,0,U8/U6)</f>
        <v/>
      </c>
      <c r="V9" s="216">
        <f>IF(V6=0,0,V8/V6)</f>
        <v/>
      </c>
      <c r="W9" s="216">
        <f>IF(W6=0,0,W8/W6)</f>
        <v/>
      </c>
      <c r="X9" s="216">
        <f>IF(X6=0,0,X8/X6)</f>
        <v/>
      </c>
      <c r="Y9" s="216">
        <f>IF(Y6=0,0,Y8/Y6)</f>
        <v/>
      </c>
      <c r="Z9" s="216">
        <f>IF(Z6=0,0,Z8/Z6)</f>
        <v/>
      </c>
      <c r="AA9" s="216">
        <f>IF(AA6=0,0,AA8/AA6)</f>
        <v/>
      </c>
      <c r="AB9" s="216">
        <f>IF(AB6=0,0,AB8/AB6)</f>
        <v/>
      </c>
      <c r="AC9" s="216">
        <f>IF(AC6=0,0,AC8/AC6)</f>
        <v/>
      </c>
      <c r="AD9" s="216">
        <f>IF(AD6=0,0,AD8/AD6)</f>
        <v/>
      </c>
      <c r="AE9" s="216">
        <f>IF(AE6=0,0,AE8/AE6)</f>
        <v/>
      </c>
      <c r="AF9" s="216">
        <f>IF(AF6=0,0,AF8/AF6)</f>
        <v/>
      </c>
      <c r="AG9" s="216">
        <f>IF(AG6=0,0,AG8/AG6)</f>
        <v/>
      </c>
      <c r="AH9" s="216">
        <f>IF(AH6=0,0,AH8/AH6)</f>
        <v/>
      </c>
      <c r="AI9" s="216">
        <f>IF(AI6=0,0,AI8/AI6)</f>
        <v/>
      </c>
      <c r="AJ9" s="216">
        <f>IF(AJ6=0,0,AJ8/AJ6)</f>
        <v/>
      </c>
      <c r="AK9" s="216">
        <f>IF(AK6=0,0,AK8/AK6)</f>
        <v/>
      </c>
      <c r="AL9" s="216">
        <f>IF(AL6=0,0,AL8/AL6)</f>
        <v/>
      </c>
      <c r="AM9" s="216">
        <f>IF(AM6=0,0,AM8/AM6)</f>
        <v/>
      </c>
      <c r="AN9" s="216">
        <f>IF(AN6=0,0,AN8/AN6)</f>
        <v/>
      </c>
      <c r="AO9" s="216">
        <f>IF(AO6=0,0,AO8/AO6)</f>
        <v/>
      </c>
      <c r="AP9" s="216">
        <f>IF(AP6=0,0,AP8/AP6)</f>
        <v/>
      </c>
      <c r="AQ9" s="216">
        <f>IF(AQ6=0,0,AQ8/AQ6)</f>
        <v/>
      </c>
      <c r="AR9" s="216">
        <f>IF(AR6=0,0,AR8/AR6)</f>
        <v/>
      </c>
      <c r="AS9" s="216">
        <f>IF(AS6=0,0,AS8/AS6)</f>
        <v/>
      </c>
      <c r="AT9" s="216">
        <f>IF(AT6=0,0,AT8/AT6)</f>
        <v/>
      </c>
      <c r="AU9" s="216">
        <f>IF(AU6=0,0,AU8/AU6)</f>
        <v/>
      </c>
      <c r="AV9" s="216">
        <f>IF(AV6=0,0,AV8/AV6)</f>
        <v/>
      </c>
      <c r="AW9" s="216">
        <f>IF(AW6=0,0,AW8/AW6)</f>
        <v/>
      </c>
      <c r="AX9" s="216">
        <f>IF(AX6=0,0,AX8/AX6)</f>
        <v/>
      </c>
      <c r="AY9" s="216">
        <f>IF(AY6=0,0,AY8/AY6)</f>
        <v/>
      </c>
      <c r="AZ9" s="216">
        <f>IF(AZ6=0,0,AZ8/AZ6)</f>
        <v/>
      </c>
      <c r="BA9" s="216">
        <f>IF(BA6=0,0,BA8/BA6)</f>
        <v/>
      </c>
      <c r="BB9" s="216">
        <f>IF(BB6=0,0,BB8/BB6)</f>
        <v/>
      </c>
      <c r="BC9" s="216">
        <f>IF(BC6=0,0,BC8/BC6)</f>
        <v/>
      </c>
      <c r="BD9" s="216">
        <f>IF(BD6=0,0,BD8/BD6)</f>
        <v/>
      </c>
      <c r="BE9" s="216">
        <f>IF(BE6=0,0,BE8/BE6)</f>
        <v/>
      </c>
      <c r="BF9" s="216">
        <f>IF(BF6=0,0,BF8/BF6)</f>
        <v/>
      </c>
      <c r="BG9" s="216">
        <f>IF(BG6=0,0,BG8/BG6)</f>
        <v/>
      </c>
      <c r="BH9" s="216">
        <f>IF(BH6=0,0,BH8/BH6)</f>
        <v/>
      </c>
      <c r="BI9" s="216">
        <f>IF(BI6=0,0,BI8/BI6)</f>
        <v/>
      </c>
      <c r="BJ9" s="216">
        <f>IF(BJ6=0,0,BJ8/BJ6)</f>
        <v/>
      </c>
      <c r="BL9" s="217">
        <f>IF((C6+D6+E6+F6+G6+H6+I6+J6+K6+L6+M6+N6)=0,0,(C8+D8+E8+F8+G8+H8+I8+J8+K8+L8+M8+N8)/(C6+D6+E6+F6+G6+H6+I6+J6+K6+L6+M6+N6))</f>
        <v/>
      </c>
      <c r="BM9" s="217">
        <f>IF((O6+P6+Q6+R6+S6+T6+U6+V6+W6+X6+Y6+Z6)=0,0,(O8+P8+Q8+R8+S8+T8+U8+V8+W8+X8+Y8+Z8)/(O6+P6+Q6+R6+S6+T6+U6+V6+W6+X6+Y6+Z6))</f>
        <v/>
      </c>
      <c r="BN9" s="217">
        <f>IF((AA6+AB6+AC6+AD6+AE6+AF6+AG6+AH6+AI6+AJ6+AK6+AL6)=0,0,(AA8+AB8+AC8+AD8+AE8+AF8+AG8+AH8+AI8+AJ8+AK8+AL8)/(AA6+AB6+AC6+AD6+AE6+AF6+AG6+AH6+AI6+AJ6+AK6+AL6))</f>
        <v/>
      </c>
      <c r="BO9" s="217">
        <f>IF((AM6+AN6+AO6+AP6+AQ6+AR6+AS6+AT6+AU6+AV6+AW6+AX6)=0,0,(AM8+AN8+AO8+AP8+AQ8+AR8+AS8+AT8+AU8+AV8+AW8+AX8)/(AM6+AN6+AO6+AP6+AQ6+AR6+AS6+AT6+AU6+AV6+AW6+AX6))</f>
        <v/>
      </c>
      <c r="BP9" s="217">
        <f>IF((AY6+AZ6+BA6+BB6+BC6+BD6+BE6+BF6+BG6+BH6+BI6+BJ6)=0,0,(AY8+AZ8+BA8+BB8+BC8+BD8+BE8+BF8+BG8+BH8+BI8+BJ8)/(AY6+AZ6+BA6+BB6+BC6+BD6+BE6+BF6+BG6+BH6+BI6+BJ6))</f>
        <v/>
      </c>
    </row>
    <row r="10" ht="15" customHeight="1" s="104">
      <c r="A10" s="107" t="inlineStr">
        <is>
          <t>Staff Compensation</t>
        </is>
      </c>
      <c r="C10" s="156">
        <f>C6*(Assumptions!B26+Assumptions!B27*0)</f>
        <v/>
      </c>
      <c r="D10" s="156">
        <f>D6*(Assumptions!B26+Assumptions!B27*0)</f>
        <v/>
      </c>
      <c r="E10" s="156">
        <f>E6*(Assumptions!B26+Assumptions!B27*0)</f>
        <v/>
      </c>
      <c r="F10" s="156">
        <f>F6*(Assumptions!B26+Assumptions!B27*0)</f>
        <v/>
      </c>
      <c r="G10" s="156">
        <f>G6*(Assumptions!B26+Assumptions!B27*0)</f>
        <v/>
      </c>
      <c r="H10" s="156">
        <f>H6*(Assumptions!B26+Assumptions!B27*0)</f>
        <v/>
      </c>
      <c r="I10" s="156">
        <f>I6*(Assumptions!B26+Assumptions!B27*0)</f>
        <v/>
      </c>
      <c r="J10" s="156">
        <f>J6*(Assumptions!B26+Assumptions!B27*0)</f>
        <v/>
      </c>
      <c r="K10" s="156">
        <f>K6*(Assumptions!B26+Assumptions!B27*0)</f>
        <v/>
      </c>
      <c r="L10" s="156">
        <f>L6*(Assumptions!B26+Assumptions!B27*0)</f>
        <v/>
      </c>
      <c r="M10" s="156">
        <f>M6*(Assumptions!B26+Assumptions!B27*0)</f>
        <v/>
      </c>
      <c r="N10" s="156">
        <f>N6*(Assumptions!B26+Assumptions!B27*0)</f>
        <v/>
      </c>
      <c r="O10" s="156">
        <f>O6*(Assumptions!B26+Assumptions!B27*1)</f>
        <v/>
      </c>
      <c r="P10" s="156">
        <f>P6*(Assumptions!B26+Assumptions!B27*1)</f>
        <v/>
      </c>
      <c r="Q10" s="156">
        <f>Q6*(Assumptions!B26+Assumptions!B27*1)</f>
        <v/>
      </c>
      <c r="R10" s="156">
        <f>R6*(Assumptions!B26+Assumptions!B27*1)</f>
        <v/>
      </c>
      <c r="S10" s="156">
        <f>S6*(Assumptions!B26+Assumptions!B27*1)</f>
        <v/>
      </c>
      <c r="T10" s="156">
        <f>T6*(Assumptions!B26+Assumptions!B27*1)</f>
        <v/>
      </c>
      <c r="U10" s="156">
        <f>U6*(Assumptions!B26+Assumptions!B27*1)</f>
        <v/>
      </c>
      <c r="V10" s="156">
        <f>V6*(Assumptions!B26+Assumptions!B27*1)</f>
        <v/>
      </c>
      <c r="W10" s="156">
        <f>W6*(Assumptions!B26+Assumptions!B27*1)</f>
        <v/>
      </c>
      <c r="X10" s="156">
        <f>X6*(Assumptions!B26+Assumptions!B27*1)</f>
        <v/>
      </c>
      <c r="Y10" s="156">
        <f>Y6*(Assumptions!B26+Assumptions!B27*1)</f>
        <v/>
      </c>
      <c r="Z10" s="156">
        <f>Z6*(Assumptions!B26+Assumptions!B27*1)</f>
        <v/>
      </c>
      <c r="AA10" s="156">
        <f>AA6*(Assumptions!B26+Assumptions!B27*2)</f>
        <v/>
      </c>
      <c r="AB10" s="156">
        <f>AB6*(Assumptions!B26+Assumptions!B27*2)</f>
        <v/>
      </c>
      <c r="AC10" s="156">
        <f>AC6*(Assumptions!B26+Assumptions!B27*2)</f>
        <v/>
      </c>
      <c r="AD10" s="156">
        <f>AD6*(Assumptions!B26+Assumptions!B27*2)</f>
        <v/>
      </c>
      <c r="AE10" s="156">
        <f>AE6*(Assumptions!B26+Assumptions!B27*2)</f>
        <v/>
      </c>
      <c r="AF10" s="156">
        <f>AF6*(Assumptions!B26+Assumptions!B27*2)</f>
        <v/>
      </c>
      <c r="AG10" s="156">
        <f>AG6*(Assumptions!B26+Assumptions!B27*2)</f>
        <v/>
      </c>
      <c r="AH10" s="156">
        <f>AH6*(Assumptions!B26+Assumptions!B27*2)</f>
        <v/>
      </c>
      <c r="AI10" s="156">
        <f>AI6*(Assumptions!B26+Assumptions!B27*2)</f>
        <v/>
      </c>
      <c r="AJ10" s="156">
        <f>AJ6*(Assumptions!B26+Assumptions!B27*2)</f>
        <v/>
      </c>
      <c r="AK10" s="156">
        <f>AK6*(Assumptions!B26+Assumptions!B27*2)</f>
        <v/>
      </c>
      <c r="AL10" s="156">
        <f>AL6*(Assumptions!B26+Assumptions!B27*2)</f>
        <v/>
      </c>
      <c r="AM10" s="156">
        <f>AM6*(Assumptions!B26+Assumptions!B27*3)</f>
        <v/>
      </c>
      <c r="AN10" s="156">
        <f>AN6*(Assumptions!B26+Assumptions!B27*3)</f>
        <v/>
      </c>
      <c r="AO10" s="156">
        <f>AO6*(Assumptions!B26+Assumptions!B27*3)</f>
        <v/>
      </c>
      <c r="AP10" s="156">
        <f>AP6*(Assumptions!B26+Assumptions!B27*3)</f>
        <v/>
      </c>
      <c r="AQ10" s="156">
        <f>AQ6*(Assumptions!B26+Assumptions!B27*3)</f>
        <v/>
      </c>
      <c r="AR10" s="156">
        <f>AR6*(Assumptions!B26+Assumptions!B27*3)</f>
        <v/>
      </c>
      <c r="AS10" s="156">
        <f>AS6*(Assumptions!B26+Assumptions!B27*3)</f>
        <v/>
      </c>
      <c r="AT10" s="156">
        <f>AT6*(Assumptions!B26+Assumptions!B27*3)</f>
        <v/>
      </c>
      <c r="AU10" s="156">
        <f>AU6*(Assumptions!B26+Assumptions!B27*3)</f>
        <v/>
      </c>
      <c r="AV10" s="156">
        <f>AV6*(Assumptions!B26+Assumptions!B27*3)</f>
        <v/>
      </c>
      <c r="AW10" s="156">
        <f>AW6*(Assumptions!B26+Assumptions!B27*3)</f>
        <v/>
      </c>
      <c r="AX10" s="156">
        <f>AX6*(Assumptions!B26+Assumptions!B27*3)</f>
        <v/>
      </c>
      <c r="AY10" s="156">
        <f>AY6*(Assumptions!B26+Assumptions!B27*4)</f>
        <v/>
      </c>
      <c r="AZ10" s="156">
        <f>AZ6*(Assumptions!B26+Assumptions!B27*4)</f>
        <v/>
      </c>
      <c r="BA10" s="156">
        <f>BA6*(Assumptions!B26+Assumptions!B27*4)</f>
        <v/>
      </c>
      <c r="BB10" s="156">
        <f>BB6*(Assumptions!B26+Assumptions!B27*4)</f>
        <v/>
      </c>
      <c r="BC10" s="156">
        <f>BC6*(Assumptions!B26+Assumptions!B27*4)</f>
        <v/>
      </c>
      <c r="BD10" s="156">
        <f>BD6*(Assumptions!B26+Assumptions!B27*4)</f>
        <v/>
      </c>
      <c r="BE10" s="156">
        <f>BE6*(Assumptions!B26+Assumptions!B27*4)</f>
        <v/>
      </c>
      <c r="BF10" s="156">
        <f>BF6*(Assumptions!B26+Assumptions!B27*4)</f>
        <v/>
      </c>
      <c r="BG10" s="156">
        <f>BG6*(Assumptions!B26+Assumptions!B27*4)</f>
        <v/>
      </c>
      <c r="BH10" s="156">
        <f>BH6*(Assumptions!B26+Assumptions!B27*4)</f>
        <v/>
      </c>
      <c r="BI10" s="156">
        <f>BI6*(Assumptions!B26+Assumptions!B27*4)</f>
        <v/>
      </c>
      <c r="BJ10" s="156">
        <f>BJ6*(Assumptions!B26+Assumptions!B27*4)</f>
        <v/>
      </c>
      <c r="BL10" s="157">
        <f>C10+D10+E10+F10+G10+H10+I10+J10+K10+L10+M10+N10</f>
        <v/>
      </c>
      <c r="BM10" s="157">
        <f>O10+P10+Q10+R10+S10+T10+U10+V10+W10+X10+Y10+Z10</f>
        <v/>
      </c>
      <c r="BN10" s="157">
        <f>AA10+AB10+AC10+AD10+AE10+AF10+AG10+AH10+AI10+AJ10+AK10+AL10</f>
        <v/>
      </c>
      <c r="BO10" s="157">
        <f>AM10+AN10+AO10+AP10+AQ10+AR10+AS10+AT10+AU10+AV10+AW10+AX10</f>
        <v/>
      </c>
      <c r="BP10" s="157">
        <f>AY10+AZ10+BA10+BB10+BC10+BD10+BE10+BF10+BG10+BH10+BI10+BJ10</f>
        <v/>
      </c>
    </row>
    <row r="11" ht="15" customHeight="1" s="104">
      <c r="A11" s="215" t="inlineStr">
        <is>
          <t xml:space="preserve">    % of Revenue</t>
        </is>
      </c>
      <c r="C11" s="216">
        <f>IF(C6=0,0,C10/C6)</f>
        <v/>
      </c>
      <c r="D11" s="216">
        <f>IF(D6=0,0,D10/D6)</f>
        <v/>
      </c>
      <c r="E11" s="216">
        <f>IF(E6=0,0,E10/E6)</f>
        <v/>
      </c>
      <c r="F11" s="216">
        <f>IF(F6=0,0,F10/F6)</f>
        <v/>
      </c>
      <c r="G11" s="216">
        <f>IF(G6=0,0,G10/G6)</f>
        <v/>
      </c>
      <c r="H11" s="216">
        <f>IF(H6=0,0,H10/H6)</f>
        <v/>
      </c>
      <c r="I11" s="216">
        <f>IF(I6=0,0,I10/I6)</f>
        <v/>
      </c>
      <c r="J11" s="216">
        <f>IF(J6=0,0,J10/J6)</f>
        <v/>
      </c>
      <c r="K11" s="216">
        <f>IF(K6=0,0,K10/K6)</f>
        <v/>
      </c>
      <c r="L11" s="216">
        <f>IF(L6=0,0,L10/L6)</f>
        <v/>
      </c>
      <c r="M11" s="216">
        <f>IF(M6=0,0,M10/M6)</f>
        <v/>
      </c>
      <c r="N11" s="216">
        <f>IF(N6=0,0,N10/N6)</f>
        <v/>
      </c>
      <c r="O11" s="216">
        <f>IF(O6=0,0,O10/O6)</f>
        <v/>
      </c>
      <c r="P11" s="216">
        <f>IF(P6=0,0,P10/P6)</f>
        <v/>
      </c>
      <c r="Q11" s="216">
        <f>IF(Q6=0,0,Q10/Q6)</f>
        <v/>
      </c>
      <c r="R11" s="216">
        <f>IF(R6=0,0,R10/R6)</f>
        <v/>
      </c>
      <c r="S11" s="216">
        <f>IF(S6=0,0,S10/S6)</f>
        <v/>
      </c>
      <c r="T11" s="216">
        <f>IF(T6=0,0,T10/T6)</f>
        <v/>
      </c>
      <c r="U11" s="216">
        <f>IF(U6=0,0,U10/U6)</f>
        <v/>
      </c>
      <c r="V11" s="216">
        <f>IF(V6=0,0,V10/V6)</f>
        <v/>
      </c>
      <c r="W11" s="216">
        <f>IF(W6=0,0,W10/W6)</f>
        <v/>
      </c>
      <c r="X11" s="216">
        <f>IF(X6=0,0,X10/X6)</f>
        <v/>
      </c>
      <c r="Y11" s="216">
        <f>IF(Y6=0,0,Y10/Y6)</f>
        <v/>
      </c>
      <c r="Z11" s="216">
        <f>IF(Z6=0,0,Z10/Z6)</f>
        <v/>
      </c>
      <c r="AA11" s="216">
        <f>IF(AA6=0,0,AA10/AA6)</f>
        <v/>
      </c>
      <c r="AB11" s="216">
        <f>IF(AB6=0,0,AB10/AB6)</f>
        <v/>
      </c>
      <c r="AC11" s="216">
        <f>IF(AC6=0,0,AC10/AC6)</f>
        <v/>
      </c>
      <c r="AD11" s="216">
        <f>IF(AD6=0,0,AD10/AD6)</f>
        <v/>
      </c>
      <c r="AE11" s="216">
        <f>IF(AE6=0,0,AE10/AE6)</f>
        <v/>
      </c>
      <c r="AF11" s="216">
        <f>IF(AF6=0,0,AF10/AF6)</f>
        <v/>
      </c>
      <c r="AG11" s="216">
        <f>IF(AG6=0,0,AG10/AG6)</f>
        <v/>
      </c>
      <c r="AH11" s="216">
        <f>IF(AH6=0,0,AH10/AH6)</f>
        <v/>
      </c>
      <c r="AI11" s="216">
        <f>IF(AI6=0,0,AI10/AI6)</f>
        <v/>
      </c>
      <c r="AJ11" s="216">
        <f>IF(AJ6=0,0,AJ10/AJ6)</f>
        <v/>
      </c>
      <c r="AK11" s="216">
        <f>IF(AK6=0,0,AK10/AK6)</f>
        <v/>
      </c>
      <c r="AL11" s="216">
        <f>IF(AL6=0,0,AL10/AL6)</f>
        <v/>
      </c>
      <c r="AM11" s="216">
        <f>IF(AM6=0,0,AM10/AM6)</f>
        <v/>
      </c>
      <c r="AN11" s="216">
        <f>IF(AN6=0,0,AN10/AN6)</f>
        <v/>
      </c>
      <c r="AO11" s="216">
        <f>IF(AO6=0,0,AO10/AO6)</f>
        <v/>
      </c>
      <c r="AP11" s="216">
        <f>IF(AP6=0,0,AP10/AP6)</f>
        <v/>
      </c>
      <c r="AQ11" s="216">
        <f>IF(AQ6=0,0,AQ10/AQ6)</f>
        <v/>
      </c>
      <c r="AR11" s="216">
        <f>IF(AR6=0,0,AR10/AR6)</f>
        <v/>
      </c>
      <c r="AS11" s="216">
        <f>IF(AS6=0,0,AS10/AS6)</f>
        <v/>
      </c>
      <c r="AT11" s="216">
        <f>IF(AT6=0,0,AT10/AT6)</f>
        <v/>
      </c>
      <c r="AU11" s="216">
        <f>IF(AU6=0,0,AU10/AU6)</f>
        <v/>
      </c>
      <c r="AV11" s="216">
        <f>IF(AV6=0,0,AV10/AV6)</f>
        <v/>
      </c>
      <c r="AW11" s="216">
        <f>IF(AW6=0,0,AW10/AW6)</f>
        <v/>
      </c>
      <c r="AX11" s="216">
        <f>IF(AX6=0,0,AX10/AX6)</f>
        <v/>
      </c>
      <c r="AY11" s="216">
        <f>IF(AY6=0,0,AY10/AY6)</f>
        <v/>
      </c>
      <c r="AZ11" s="216">
        <f>IF(AZ6=0,0,AZ10/AZ6)</f>
        <v/>
      </c>
      <c r="BA11" s="216">
        <f>IF(BA6=0,0,BA10/BA6)</f>
        <v/>
      </c>
      <c r="BB11" s="216">
        <f>IF(BB6=0,0,BB10/BB6)</f>
        <v/>
      </c>
      <c r="BC11" s="216">
        <f>IF(BC6=0,0,BC10/BC6)</f>
        <v/>
      </c>
      <c r="BD11" s="216">
        <f>IF(BD6=0,0,BD10/BD6)</f>
        <v/>
      </c>
      <c r="BE11" s="216">
        <f>IF(BE6=0,0,BE10/BE6)</f>
        <v/>
      </c>
      <c r="BF11" s="216">
        <f>IF(BF6=0,0,BF10/BF6)</f>
        <v/>
      </c>
      <c r="BG11" s="216">
        <f>IF(BG6=0,0,BG10/BG6)</f>
        <v/>
      </c>
      <c r="BH11" s="216">
        <f>IF(BH6=0,0,BH10/BH6)</f>
        <v/>
      </c>
      <c r="BI11" s="216">
        <f>IF(BI6=0,0,BI10/BI6)</f>
        <v/>
      </c>
      <c r="BJ11" s="216">
        <f>IF(BJ6=0,0,BJ10/BJ6)</f>
        <v/>
      </c>
      <c r="BL11" s="217">
        <f>IF((C6+D6+E6+F6+G6+H6+I6+J6+K6+L6+M6+N6)=0,0,(C10+D10+E10+F10+G10+H10+I10+J10+K10+L10+M10+N10)/(C6+D6+E6+F6+G6+H6+I6+J6+K6+L6+M6+N6))</f>
        <v/>
      </c>
      <c r="BM11" s="217">
        <f>IF((O6+P6+Q6+R6+S6+T6+U6+V6+W6+X6+Y6+Z6)=0,0,(O10+P10+Q10+R10+S10+T10+U10+V10+W10+X10+Y10+Z10)/(O6+P6+Q6+R6+S6+T6+U6+V6+W6+X6+Y6+Z6))</f>
        <v/>
      </c>
      <c r="BN11" s="217">
        <f>IF((AA6+AB6+AC6+AD6+AE6+AF6+AG6+AH6+AI6+AJ6+AK6+AL6)=0,0,(AA10+AB10+AC10+AD10+AE10+AF10+AG10+AH10+AI10+AJ10+AK10+AL10)/(AA6+AB6+AC6+AD6+AE6+AF6+AG6+AH6+AI6+AJ6+AK6+AL6))</f>
        <v/>
      </c>
      <c r="BO11" s="217">
        <f>IF((AM6+AN6+AO6+AP6+AQ6+AR6+AS6+AT6+AU6+AV6+AW6+AX6)=0,0,(AM10+AN10+AO10+AP10+AQ10+AR10+AS10+AT10+AU10+AV10+AW10+AX10)/(AM6+AN6+AO6+AP6+AQ6+AR6+AS6+AT6+AU6+AV6+AW6+AX6))</f>
        <v/>
      </c>
      <c r="BP11" s="217">
        <f>IF((AY6+AZ6+BA6+BB6+BC6+BD6+BE6+BF6+BG6+BH6+BI6+BJ6)=0,0,(AY10+AZ10+BA10+BB10+BC10+BD10+BE10+BF10+BG10+BH10+BI10+BJ10)/(AY6+AZ6+BA6+BB6+BC6+BD6+BE6+BF6+BG6+BH6+BI6+BJ6))</f>
        <v/>
      </c>
    </row>
    <row r="12" ht="15" customHeight="1" s="104">
      <c r="A12" s="107" t="inlineStr">
        <is>
          <t>Occupancy &amp; Facilities</t>
        </is>
      </c>
      <c r="C12" s="156">
        <f>C6*(Assumptions!B28+Assumptions!B29*0)</f>
        <v/>
      </c>
      <c r="D12" s="156">
        <f>D6*(Assumptions!B28+Assumptions!B29*0)</f>
        <v/>
      </c>
      <c r="E12" s="156">
        <f>E6*(Assumptions!B28+Assumptions!B29*0)</f>
        <v/>
      </c>
      <c r="F12" s="156">
        <f>F6*(Assumptions!B28+Assumptions!B29*0)</f>
        <v/>
      </c>
      <c r="G12" s="156">
        <f>G6*(Assumptions!B28+Assumptions!B29*0)</f>
        <v/>
      </c>
      <c r="H12" s="156">
        <f>H6*(Assumptions!B28+Assumptions!B29*0)</f>
        <v/>
      </c>
      <c r="I12" s="156">
        <f>I6*(Assumptions!B28+Assumptions!B29*0)</f>
        <v/>
      </c>
      <c r="J12" s="156">
        <f>J6*(Assumptions!B28+Assumptions!B29*0)</f>
        <v/>
      </c>
      <c r="K12" s="156">
        <f>K6*(Assumptions!B28+Assumptions!B29*0)</f>
        <v/>
      </c>
      <c r="L12" s="156">
        <f>L6*(Assumptions!B28+Assumptions!B29*0)</f>
        <v/>
      </c>
      <c r="M12" s="156">
        <f>M6*(Assumptions!B28+Assumptions!B29*0)</f>
        <v/>
      </c>
      <c r="N12" s="156">
        <f>N6*(Assumptions!B28+Assumptions!B29*0)</f>
        <v/>
      </c>
      <c r="O12" s="156">
        <f>O6*(Assumptions!B28+Assumptions!B29*1)</f>
        <v/>
      </c>
      <c r="P12" s="156">
        <f>P6*(Assumptions!B28+Assumptions!B29*1)</f>
        <v/>
      </c>
      <c r="Q12" s="156">
        <f>Q6*(Assumptions!B28+Assumptions!B29*1)</f>
        <v/>
      </c>
      <c r="R12" s="156">
        <f>R6*(Assumptions!B28+Assumptions!B29*1)</f>
        <v/>
      </c>
      <c r="S12" s="156">
        <f>S6*(Assumptions!B28+Assumptions!B29*1)</f>
        <v/>
      </c>
      <c r="T12" s="156">
        <f>T6*(Assumptions!B28+Assumptions!B29*1)</f>
        <v/>
      </c>
      <c r="U12" s="156">
        <f>U6*(Assumptions!B28+Assumptions!B29*1)</f>
        <v/>
      </c>
      <c r="V12" s="156">
        <f>V6*(Assumptions!B28+Assumptions!B29*1)</f>
        <v/>
      </c>
      <c r="W12" s="156">
        <f>W6*(Assumptions!B28+Assumptions!B29*1)</f>
        <v/>
      </c>
      <c r="X12" s="156">
        <f>X6*(Assumptions!B28+Assumptions!B29*1)</f>
        <v/>
      </c>
      <c r="Y12" s="156">
        <f>Y6*(Assumptions!B28+Assumptions!B29*1)</f>
        <v/>
      </c>
      <c r="Z12" s="156">
        <f>Z6*(Assumptions!B28+Assumptions!B29*1)</f>
        <v/>
      </c>
      <c r="AA12" s="156">
        <f>AA6*(Assumptions!B28+Assumptions!B29*2)</f>
        <v/>
      </c>
      <c r="AB12" s="156">
        <f>AB6*(Assumptions!B28+Assumptions!B29*2)</f>
        <v/>
      </c>
      <c r="AC12" s="156">
        <f>AC6*(Assumptions!B28+Assumptions!B29*2)</f>
        <v/>
      </c>
      <c r="AD12" s="156">
        <f>AD6*(Assumptions!B28+Assumptions!B29*2)</f>
        <v/>
      </c>
      <c r="AE12" s="156">
        <f>AE6*(Assumptions!B28+Assumptions!B29*2)</f>
        <v/>
      </c>
      <c r="AF12" s="156">
        <f>AF6*(Assumptions!B28+Assumptions!B29*2)</f>
        <v/>
      </c>
      <c r="AG12" s="156">
        <f>AG6*(Assumptions!B28+Assumptions!B29*2)</f>
        <v/>
      </c>
      <c r="AH12" s="156">
        <f>AH6*(Assumptions!B28+Assumptions!B29*2)</f>
        <v/>
      </c>
      <c r="AI12" s="156">
        <f>AI6*(Assumptions!B28+Assumptions!B29*2)</f>
        <v/>
      </c>
      <c r="AJ12" s="156">
        <f>AJ6*(Assumptions!B28+Assumptions!B29*2)</f>
        <v/>
      </c>
      <c r="AK12" s="156">
        <f>AK6*(Assumptions!B28+Assumptions!B29*2)</f>
        <v/>
      </c>
      <c r="AL12" s="156">
        <f>AL6*(Assumptions!B28+Assumptions!B29*2)</f>
        <v/>
      </c>
      <c r="AM12" s="156">
        <f>AM6*(Assumptions!B28+Assumptions!B29*3)</f>
        <v/>
      </c>
      <c r="AN12" s="156">
        <f>AN6*(Assumptions!B28+Assumptions!B29*3)</f>
        <v/>
      </c>
      <c r="AO12" s="156">
        <f>AO6*(Assumptions!B28+Assumptions!B29*3)</f>
        <v/>
      </c>
      <c r="AP12" s="156">
        <f>AP6*(Assumptions!B28+Assumptions!B29*3)</f>
        <v/>
      </c>
      <c r="AQ12" s="156">
        <f>AQ6*(Assumptions!B28+Assumptions!B29*3)</f>
        <v/>
      </c>
      <c r="AR12" s="156">
        <f>AR6*(Assumptions!B28+Assumptions!B29*3)</f>
        <v/>
      </c>
      <c r="AS12" s="156">
        <f>AS6*(Assumptions!B28+Assumptions!B29*3)</f>
        <v/>
      </c>
      <c r="AT12" s="156">
        <f>AT6*(Assumptions!B28+Assumptions!B29*3)</f>
        <v/>
      </c>
      <c r="AU12" s="156">
        <f>AU6*(Assumptions!B28+Assumptions!B29*3)</f>
        <v/>
      </c>
      <c r="AV12" s="156">
        <f>AV6*(Assumptions!B28+Assumptions!B29*3)</f>
        <v/>
      </c>
      <c r="AW12" s="156">
        <f>AW6*(Assumptions!B28+Assumptions!B29*3)</f>
        <v/>
      </c>
      <c r="AX12" s="156">
        <f>AX6*(Assumptions!B28+Assumptions!B29*3)</f>
        <v/>
      </c>
      <c r="AY12" s="156">
        <f>AY6*(Assumptions!B28+Assumptions!B29*4)</f>
        <v/>
      </c>
      <c r="AZ12" s="156">
        <f>AZ6*(Assumptions!B28+Assumptions!B29*4)</f>
        <v/>
      </c>
      <c r="BA12" s="156">
        <f>BA6*(Assumptions!B28+Assumptions!B29*4)</f>
        <v/>
      </c>
      <c r="BB12" s="156">
        <f>BB6*(Assumptions!B28+Assumptions!B29*4)</f>
        <v/>
      </c>
      <c r="BC12" s="156">
        <f>BC6*(Assumptions!B28+Assumptions!B29*4)</f>
        <v/>
      </c>
      <c r="BD12" s="156">
        <f>BD6*(Assumptions!B28+Assumptions!B29*4)</f>
        <v/>
      </c>
      <c r="BE12" s="156">
        <f>BE6*(Assumptions!B28+Assumptions!B29*4)</f>
        <v/>
      </c>
      <c r="BF12" s="156">
        <f>BF6*(Assumptions!B28+Assumptions!B29*4)</f>
        <v/>
      </c>
      <c r="BG12" s="156">
        <f>BG6*(Assumptions!B28+Assumptions!B29*4)</f>
        <v/>
      </c>
      <c r="BH12" s="156">
        <f>BH6*(Assumptions!B28+Assumptions!B29*4)</f>
        <v/>
      </c>
      <c r="BI12" s="156">
        <f>BI6*(Assumptions!B28+Assumptions!B29*4)</f>
        <v/>
      </c>
      <c r="BJ12" s="156">
        <f>BJ6*(Assumptions!B28+Assumptions!B29*4)</f>
        <v/>
      </c>
      <c r="BL12" s="157">
        <f>C12+D12+E12+F12+G12+H12+I12+J12+K12+L12+M12+N12</f>
        <v/>
      </c>
      <c r="BM12" s="157">
        <f>O12+P12+Q12+R12+S12+T12+U12+V12+W12+X12+Y12+Z12</f>
        <v/>
      </c>
      <c r="BN12" s="157">
        <f>AA12+AB12+AC12+AD12+AE12+AF12+AG12+AH12+AI12+AJ12+AK12+AL12</f>
        <v/>
      </c>
      <c r="BO12" s="157">
        <f>AM12+AN12+AO12+AP12+AQ12+AR12+AS12+AT12+AU12+AV12+AW12+AX12</f>
        <v/>
      </c>
      <c r="BP12" s="157">
        <f>AY12+AZ12+BA12+BB12+BC12+BD12+BE12+BF12+BG12+BH12+BI12+BJ12</f>
        <v/>
      </c>
    </row>
    <row r="13" ht="15" customHeight="1" s="104">
      <c r="A13" s="215" t="inlineStr">
        <is>
          <t xml:space="preserve">    % of Revenue</t>
        </is>
      </c>
      <c r="C13" s="216">
        <f>IF(C6=0,0,C12/C6)</f>
        <v/>
      </c>
      <c r="D13" s="216">
        <f>IF(D6=0,0,D12/D6)</f>
        <v/>
      </c>
      <c r="E13" s="216">
        <f>IF(E6=0,0,E12/E6)</f>
        <v/>
      </c>
      <c r="F13" s="216">
        <f>IF(F6=0,0,F12/F6)</f>
        <v/>
      </c>
      <c r="G13" s="216">
        <f>IF(G6=0,0,G12/G6)</f>
        <v/>
      </c>
      <c r="H13" s="216">
        <f>IF(H6=0,0,H12/H6)</f>
        <v/>
      </c>
      <c r="I13" s="216">
        <f>IF(I6=0,0,I12/I6)</f>
        <v/>
      </c>
      <c r="J13" s="216">
        <f>IF(J6=0,0,J12/J6)</f>
        <v/>
      </c>
      <c r="K13" s="216">
        <f>IF(K6=0,0,K12/K6)</f>
        <v/>
      </c>
      <c r="L13" s="216">
        <f>IF(L6=0,0,L12/L6)</f>
        <v/>
      </c>
      <c r="M13" s="216">
        <f>IF(M6=0,0,M12/M6)</f>
        <v/>
      </c>
      <c r="N13" s="216">
        <f>IF(N6=0,0,N12/N6)</f>
        <v/>
      </c>
      <c r="O13" s="216">
        <f>IF(O6=0,0,O12/O6)</f>
        <v/>
      </c>
      <c r="P13" s="216">
        <f>IF(P6=0,0,P12/P6)</f>
        <v/>
      </c>
      <c r="Q13" s="216">
        <f>IF(Q6=0,0,Q12/Q6)</f>
        <v/>
      </c>
      <c r="R13" s="216">
        <f>IF(R6=0,0,R12/R6)</f>
        <v/>
      </c>
      <c r="S13" s="216">
        <f>IF(S6=0,0,S12/S6)</f>
        <v/>
      </c>
      <c r="T13" s="216">
        <f>IF(T6=0,0,T12/T6)</f>
        <v/>
      </c>
      <c r="U13" s="216">
        <f>IF(U6=0,0,U12/U6)</f>
        <v/>
      </c>
      <c r="V13" s="216">
        <f>IF(V6=0,0,V12/V6)</f>
        <v/>
      </c>
      <c r="W13" s="216">
        <f>IF(W6=0,0,W12/W6)</f>
        <v/>
      </c>
      <c r="X13" s="216">
        <f>IF(X6=0,0,X12/X6)</f>
        <v/>
      </c>
      <c r="Y13" s="216">
        <f>IF(Y6=0,0,Y12/Y6)</f>
        <v/>
      </c>
      <c r="Z13" s="216">
        <f>IF(Z6=0,0,Z12/Z6)</f>
        <v/>
      </c>
      <c r="AA13" s="216">
        <f>IF(AA6=0,0,AA12/AA6)</f>
        <v/>
      </c>
      <c r="AB13" s="216">
        <f>IF(AB6=0,0,AB12/AB6)</f>
        <v/>
      </c>
      <c r="AC13" s="216">
        <f>IF(AC6=0,0,AC12/AC6)</f>
        <v/>
      </c>
      <c r="AD13" s="216">
        <f>IF(AD6=0,0,AD12/AD6)</f>
        <v/>
      </c>
      <c r="AE13" s="216">
        <f>IF(AE6=0,0,AE12/AE6)</f>
        <v/>
      </c>
      <c r="AF13" s="216">
        <f>IF(AF6=0,0,AF12/AF6)</f>
        <v/>
      </c>
      <c r="AG13" s="216">
        <f>IF(AG6=0,0,AG12/AG6)</f>
        <v/>
      </c>
      <c r="AH13" s="216">
        <f>IF(AH6=0,0,AH12/AH6)</f>
        <v/>
      </c>
      <c r="AI13" s="216">
        <f>IF(AI6=0,0,AI12/AI6)</f>
        <v/>
      </c>
      <c r="AJ13" s="216">
        <f>IF(AJ6=0,0,AJ12/AJ6)</f>
        <v/>
      </c>
      <c r="AK13" s="216">
        <f>IF(AK6=0,0,AK12/AK6)</f>
        <v/>
      </c>
      <c r="AL13" s="216">
        <f>IF(AL6=0,0,AL12/AL6)</f>
        <v/>
      </c>
      <c r="AM13" s="216">
        <f>IF(AM6=0,0,AM12/AM6)</f>
        <v/>
      </c>
      <c r="AN13" s="216">
        <f>IF(AN6=0,0,AN12/AN6)</f>
        <v/>
      </c>
      <c r="AO13" s="216">
        <f>IF(AO6=0,0,AO12/AO6)</f>
        <v/>
      </c>
      <c r="AP13" s="216">
        <f>IF(AP6=0,0,AP12/AP6)</f>
        <v/>
      </c>
      <c r="AQ13" s="216">
        <f>IF(AQ6=0,0,AQ12/AQ6)</f>
        <v/>
      </c>
      <c r="AR13" s="216">
        <f>IF(AR6=0,0,AR12/AR6)</f>
        <v/>
      </c>
      <c r="AS13" s="216">
        <f>IF(AS6=0,0,AS12/AS6)</f>
        <v/>
      </c>
      <c r="AT13" s="216">
        <f>IF(AT6=0,0,AT12/AT6)</f>
        <v/>
      </c>
      <c r="AU13" s="216">
        <f>IF(AU6=0,0,AU12/AU6)</f>
        <v/>
      </c>
      <c r="AV13" s="216">
        <f>IF(AV6=0,0,AV12/AV6)</f>
        <v/>
      </c>
      <c r="AW13" s="216">
        <f>IF(AW6=0,0,AW12/AW6)</f>
        <v/>
      </c>
      <c r="AX13" s="216">
        <f>IF(AX6=0,0,AX12/AX6)</f>
        <v/>
      </c>
      <c r="AY13" s="216">
        <f>IF(AY6=0,0,AY12/AY6)</f>
        <v/>
      </c>
      <c r="AZ13" s="216">
        <f>IF(AZ6=0,0,AZ12/AZ6)</f>
        <v/>
      </c>
      <c r="BA13" s="216">
        <f>IF(BA6=0,0,BA12/BA6)</f>
        <v/>
      </c>
      <c r="BB13" s="216">
        <f>IF(BB6=0,0,BB12/BB6)</f>
        <v/>
      </c>
      <c r="BC13" s="216">
        <f>IF(BC6=0,0,BC12/BC6)</f>
        <v/>
      </c>
      <c r="BD13" s="216">
        <f>IF(BD6=0,0,BD12/BD6)</f>
        <v/>
      </c>
      <c r="BE13" s="216">
        <f>IF(BE6=0,0,BE12/BE6)</f>
        <v/>
      </c>
      <c r="BF13" s="216">
        <f>IF(BF6=0,0,BF12/BF6)</f>
        <v/>
      </c>
      <c r="BG13" s="216">
        <f>IF(BG6=0,0,BG12/BG6)</f>
        <v/>
      </c>
      <c r="BH13" s="216">
        <f>IF(BH6=0,0,BH12/BH6)</f>
        <v/>
      </c>
      <c r="BI13" s="216">
        <f>IF(BI6=0,0,BI12/BI6)</f>
        <v/>
      </c>
      <c r="BJ13" s="216">
        <f>IF(BJ6=0,0,BJ12/BJ6)</f>
        <v/>
      </c>
      <c r="BL13" s="217">
        <f>IF((C6+D6+E6+F6+G6+H6+I6+J6+K6+L6+M6+N6)=0,0,(C12+D12+E12+F12+G12+H12+I12+J12+K12+L12+M12+N12)/(C6+D6+E6+F6+G6+H6+I6+J6+K6+L6+M6+N6))</f>
        <v/>
      </c>
      <c r="BM13" s="217">
        <f>IF((O6+P6+Q6+R6+S6+T6+U6+V6+W6+X6+Y6+Z6)=0,0,(O12+P12+Q12+R12+S12+T12+U12+V12+W12+X12+Y12+Z12)/(O6+P6+Q6+R6+S6+T6+U6+V6+W6+X6+Y6+Z6))</f>
        <v/>
      </c>
      <c r="BN13" s="217">
        <f>IF((AA6+AB6+AC6+AD6+AE6+AF6+AG6+AH6+AI6+AJ6+AK6+AL6)=0,0,(AA12+AB12+AC12+AD12+AE12+AF12+AG12+AH12+AI12+AJ12+AK12+AL12)/(AA6+AB6+AC6+AD6+AE6+AF6+AG6+AH6+AI6+AJ6+AK6+AL6))</f>
        <v/>
      </c>
      <c r="BO13" s="217">
        <f>IF((AM6+AN6+AO6+AP6+AQ6+AR6+AS6+AT6+AU6+AV6+AW6+AX6)=0,0,(AM12+AN12+AO12+AP12+AQ12+AR12+AS12+AT12+AU12+AV12+AW12+AX12)/(AM6+AN6+AO6+AP6+AQ6+AR6+AS6+AT6+AU6+AV6+AW6+AX6))</f>
        <v/>
      </c>
      <c r="BP13" s="217">
        <f>IF((AY6+AZ6+BA6+BB6+BC6+BD6+BE6+BF6+BG6+BH6+BI6+BJ6)=0,0,(AY12+AZ12+BA12+BB12+BC12+BD12+BE12+BF12+BG12+BH12+BI12+BJ12)/(AY6+AZ6+BA6+BB6+BC6+BD6+BE6+BF6+BG6+BH6+BI6+BJ6))</f>
        <v/>
      </c>
    </row>
    <row r="14" ht="15" customHeight="1" s="104">
      <c r="A14" s="107" t="inlineStr">
        <is>
          <t>Technology &amp; Software</t>
        </is>
      </c>
      <c r="C14" s="156">
        <f>C6*(Assumptions!B30+Assumptions!B31*0)</f>
        <v/>
      </c>
      <c r="D14" s="156">
        <f>D6*(Assumptions!B30+Assumptions!B31*0)</f>
        <v/>
      </c>
      <c r="E14" s="156">
        <f>E6*(Assumptions!B30+Assumptions!B31*0)</f>
        <v/>
      </c>
      <c r="F14" s="156">
        <f>F6*(Assumptions!B30+Assumptions!B31*0)</f>
        <v/>
      </c>
      <c r="G14" s="156">
        <f>G6*(Assumptions!B30+Assumptions!B31*0)</f>
        <v/>
      </c>
      <c r="H14" s="156">
        <f>H6*(Assumptions!B30+Assumptions!B31*0)</f>
        <v/>
      </c>
      <c r="I14" s="156">
        <f>I6*(Assumptions!B30+Assumptions!B31*0)</f>
        <v/>
      </c>
      <c r="J14" s="156">
        <f>J6*(Assumptions!B30+Assumptions!B31*0)</f>
        <v/>
      </c>
      <c r="K14" s="156">
        <f>K6*(Assumptions!B30+Assumptions!B31*0)</f>
        <v/>
      </c>
      <c r="L14" s="156">
        <f>L6*(Assumptions!B30+Assumptions!B31*0)</f>
        <v/>
      </c>
      <c r="M14" s="156">
        <f>M6*(Assumptions!B30+Assumptions!B31*0)</f>
        <v/>
      </c>
      <c r="N14" s="156">
        <f>N6*(Assumptions!B30+Assumptions!B31*0)</f>
        <v/>
      </c>
      <c r="O14" s="156">
        <f>O6*(Assumptions!B30+Assumptions!B31*1)</f>
        <v/>
      </c>
      <c r="P14" s="156">
        <f>P6*(Assumptions!B30+Assumptions!B31*1)</f>
        <v/>
      </c>
      <c r="Q14" s="156">
        <f>Q6*(Assumptions!B30+Assumptions!B31*1)</f>
        <v/>
      </c>
      <c r="R14" s="156">
        <f>R6*(Assumptions!B30+Assumptions!B31*1)</f>
        <v/>
      </c>
      <c r="S14" s="156">
        <f>S6*(Assumptions!B30+Assumptions!B31*1)</f>
        <v/>
      </c>
      <c r="T14" s="156">
        <f>T6*(Assumptions!B30+Assumptions!B31*1)</f>
        <v/>
      </c>
      <c r="U14" s="156">
        <f>U6*(Assumptions!B30+Assumptions!B31*1)</f>
        <v/>
      </c>
      <c r="V14" s="156">
        <f>V6*(Assumptions!B30+Assumptions!B31*1)</f>
        <v/>
      </c>
      <c r="W14" s="156">
        <f>W6*(Assumptions!B30+Assumptions!B31*1)</f>
        <v/>
      </c>
      <c r="X14" s="156">
        <f>X6*(Assumptions!B30+Assumptions!B31*1)</f>
        <v/>
      </c>
      <c r="Y14" s="156">
        <f>Y6*(Assumptions!B30+Assumptions!B31*1)</f>
        <v/>
      </c>
      <c r="Z14" s="156">
        <f>Z6*(Assumptions!B30+Assumptions!B31*1)</f>
        <v/>
      </c>
      <c r="AA14" s="156">
        <f>AA6*(Assumptions!B30+Assumptions!B31*2)</f>
        <v/>
      </c>
      <c r="AB14" s="156">
        <f>AB6*(Assumptions!B30+Assumptions!B31*2)</f>
        <v/>
      </c>
      <c r="AC14" s="156">
        <f>AC6*(Assumptions!B30+Assumptions!B31*2)</f>
        <v/>
      </c>
      <c r="AD14" s="156">
        <f>AD6*(Assumptions!B30+Assumptions!B31*2)</f>
        <v/>
      </c>
      <c r="AE14" s="156">
        <f>AE6*(Assumptions!B30+Assumptions!B31*2)</f>
        <v/>
      </c>
      <c r="AF14" s="156">
        <f>AF6*(Assumptions!B30+Assumptions!B31*2)</f>
        <v/>
      </c>
      <c r="AG14" s="156">
        <f>AG6*(Assumptions!B30+Assumptions!B31*2)</f>
        <v/>
      </c>
      <c r="AH14" s="156">
        <f>AH6*(Assumptions!B30+Assumptions!B31*2)</f>
        <v/>
      </c>
      <c r="AI14" s="156">
        <f>AI6*(Assumptions!B30+Assumptions!B31*2)</f>
        <v/>
      </c>
      <c r="AJ14" s="156">
        <f>AJ6*(Assumptions!B30+Assumptions!B31*2)</f>
        <v/>
      </c>
      <c r="AK14" s="156">
        <f>AK6*(Assumptions!B30+Assumptions!B31*2)</f>
        <v/>
      </c>
      <c r="AL14" s="156">
        <f>AL6*(Assumptions!B30+Assumptions!B31*2)</f>
        <v/>
      </c>
      <c r="AM14" s="156">
        <f>AM6*(Assumptions!B30+Assumptions!B31*3)</f>
        <v/>
      </c>
      <c r="AN14" s="156">
        <f>AN6*(Assumptions!B30+Assumptions!B31*3)</f>
        <v/>
      </c>
      <c r="AO14" s="156">
        <f>AO6*(Assumptions!B30+Assumptions!B31*3)</f>
        <v/>
      </c>
      <c r="AP14" s="156">
        <f>AP6*(Assumptions!B30+Assumptions!B31*3)</f>
        <v/>
      </c>
      <c r="AQ14" s="156">
        <f>AQ6*(Assumptions!B30+Assumptions!B31*3)</f>
        <v/>
      </c>
      <c r="AR14" s="156">
        <f>AR6*(Assumptions!B30+Assumptions!B31*3)</f>
        <v/>
      </c>
      <c r="AS14" s="156">
        <f>AS6*(Assumptions!B30+Assumptions!B31*3)</f>
        <v/>
      </c>
      <c r="AT14" s="156">
        <f>AT6*(Assumptions!B30+Assumptions!B31*3)</f>
        <v/>
      </c>
      <c r="AU14" s="156">
        <f>AU6*(Assumptions!B30+Assumptions!B31*3)</f>
        <v/>
      </c>
      <c r="AV14" s="156">
        <f>AV6*(Assumptions!B30+Assumptions!B31*3)</f>
        <v/>
      </c>
      <c r="AW14" s="156">
        <f>AW6*(Assumptions!B30+Assumptions!B31*3)</f>
        <v/>
      </c>
      <c r="AX14" s="156">
        <f>AX6*(Assumptions!B30+Assumptions!B31*3)</f>
        <v/>
      </c>
      <c r="AY14" s="156">
        <f>AY6*(Assumptions!B30+Assumptions!B31*4)</f>
        <v/>
      </c>
      <c r="AZ14" s="156">
        <f>AZ6*(Assumptions!B30+Assumptions!B31*4)</f>
        <v/>
      </c>
      <c r="BA14" s="156">
        <f>BA6*(Assumptions!B30+Assumptions!B31*4)</f>
        <v/>
      </c>
      <c r="BB14" s="156">
        <f>BB6*(Assumptions!B30+Assumptions!B31*4)</f>
        <v/>
      </c>
      <c r="BC14" s="156">
        <f>BC6*(Assumptions!B30+Assumptions!B31*4)</f>
        <v/>
      </c>
      <c r="BD14" s="156">
        <f>BD6*(Assumptions!B30+Assumptions!B31*4)</f>
        <v/>
      </c>
      <c r="BE14" s="156">
        <f>BE6*(Assumptions!B30+Assumptions!B31*4)</f>
        <v/>
      </c>
      <c r="BF14" s="156">
        <f>BF6*(Assumptions!B30+Assumptions!B31*4)</f>
        <v/>
      </c>
      <c r="BG14" s="156">
        <f>BG6*(Assumptions!B30+Assumptions!B31*4)</f>
        <v/>
      </c>
      <c r="BH14" s="156">
        <f>BH6*(Assumptions!B30+Assumptions!B31*4)</f>
        <v/>
      </c>
      <c r="BI14" s="156">
        <f>BI6*(Assumptions!B30+Assumptions!B31*4)</f>
        <v/>
      </c>
      <c r="BJ14" s="156">
        <f>BJ6*(Assumptions!B30+Assumptions!B31*4)</f>
        <v/>
      </c>
      <c r="BL14" s="157">
        <f>C14+D14+E14+F14+G14+H14+I14+J14+K14+L14+M14+N14</f>
        <v/>
      </c>
      <c r="BM14" s="157">
        <f>O14+P14+Q14+R14+S14+T14+U14+V14+W14+X14+Y14+Z14</f>
        <v/>
      </c>
      <c r="BN14" s="157">
        <f>AA14+AB14+AC14+AD14+AE14+AF14+AG14+AH14+AI14+AJ14+AK14+AL14</f>
        <v/>
      </c>
      <c r="BO14" s="157">
        <f>AM14+AN14+AO14+AP14+AQ14+AR14+AS14+AT14+AU14+AV14+AW14+AX14</f>
        <v/>
      </c>
      <c r="BP14" s="157">
        <f>AY14+AZ14+BA14+BB14+BC14+BD14+BE14+BF14+BG14+BH14+BI14+BJ14</f>
        <v/>
      </c>
    </row>
    <row r="15" ht="15" customHeight="1" s="104">
      <c r="A15" s="215" t="inlineStr">
        <is>
          <t xml:space="preserve">    % of Revenue</t>
        </is>
      </c>
      <c r="C15" s="216">
        <f>IF(C6=0,0,C14/C6)</f>
        <v/>
      </c>
      <c r="D15" s="216">
        <f>IF(D6=0,0,D14/D6)</f>
        <v/>
      </c>
      <c r="E15" s="216">
        <f>IF(E6=0,0,E14/E6)</f>
        <v/>
      </c>
      <c r="F15" s="216">
        <f>IF(F6=0,0,F14/F6)</f>
        <v/>
      </c>
      <c r="G15" s="216">
        <f>IF(G6=0,0,G14/G6)</f>
        <v/>
      </c>
      <c r="H15" s="216">
        <f>IF(H6=0,0,H14/H6)</f>
        <v/>
      </c>
      <c r="I15" s="216">
        <f>IF(I6=0,0,I14/I6)</f>
        <v/>
      </c>
      <c r="J15" s="216">
        <f>IF(J6=0,0,J14/J6)</f>
        <v/>
      </c>
      <c r="K15" s="216">
        <f>IF(K6=0,0,K14/K6)</f>
        <v/>
      </c>
      <c r="L15" s="216">
        <f>IF(L6=0,0,L14/L6)</f>
        <v/>
      </c>
      <c r="M15" s="216">
        <f>IF(M6=0,0,M14/M6)</f>
        <v/>
      </c>
      <c r="N15" s="216">
        <f>IF(N6=0,0,N14/N6)</f>
        <v/>
      </c>
      <c r="O15" s="216">
        <f>IF(O6=0,0,O14/O6)</f>
        <v/>
      </c>
      <c r="P15" s="216">
        <f>IF(P6=0,0,P14/P6)</f>
        <v/>
      </c>
      <c r="Q15" s="216">
        <f>IF(Q6=0,0,Q14/Q6)</f>
        <v/>
      </c>
      <c r="R15" s="216">
        <f>IF(R6=0,0,R14/R6)</f>
        <v/>
      </c>
      <c r="S15" s="216">
        <f>IF(S6=0,0,S14/S6)</f>
        <v/>
      </c>
      <c r="T15" s="216">
        <f>IF(T6=0,0,T14/T6)</f>
        <v/>
      </c>
      <c r="U15" s="216">
        <f>IF(U6=0,0,U14/U6)</f>
        <v/>
      </c>
      <c r="V15" s="216">
        <f>IF(V6=0,0,V14/V6)</f>
        <v/>
      </c>
      <c r="W15" s="216">
        <f>IF(W6=0,0,W14/W6)</f>
        <v/>
      </c>
      <c r="X15" s="216">
        <f>IF(X6=0,0,X14/X6)</f>
        <v/>
      </c>
      <c r="Y15" s="216">
        <f>IF(Y6=0,0,Y14/Y6)</f>
        <v/>
      </c>
      <c r="Z15" s="216">
        <f>IF(Z6=0,0,Z14/Z6)</f>
        <v/>
      </c>
      <c r="AA15" s="216">
        <f>IF(AA6=0,0,AA14/AA6)</f>
        <v/>
      </c>
      <c r="AB15" s="216">
        <f>IF(AB6=0,0,AB14/AB6)</f>
        <v/>
      </c>
      <c r="AC15" s="216">
        <f>IF(AC6=0,0,AC14/AC6)</f>
        <v/>
      </c>
      <c r="AD15" s="216">
        <f>IF(AD6=0,0,AD14/AD6)</f>
        <v/>
      </c>
      <c r="AE15" s="216">
        <f>IF(AE6=0,0,AE14/AE6)</f>
        <v/>
      </c>
      <c r="AF15" s="216">
        <f>IF(AF6=0,0,AF14/AF6)</f>
        <v/>
      </c>
      <c r="AG15" s="216">
        <f>IF(AG6=0,0,AG14/AG6)</f>
        <v/>
      </c>
      <c r="AH15" s="216">
        <f>IF(AH6=0,0,AH14/AH6)</f>
        <v/>
      </c>
      <c r="AI15" s="216">
        <f>IF(AI6=0,0,AI14/AI6)</f>
        <v/>
      </c>
      <c r="AJ15" s="216">
        <f>IF(AJ6=0,0,AJ14/AJ6)</f>
        <v/>
      </c>
      <c r="AK15" s="216">
        <f>IF(AK6=0,0,AK14/AK6)</f>
        <v/>
      </c>
      <c r="AL15" s="216">
        <f>IF(AL6=0,0,AL14/AL6)</f>
        <v/>
      </c>
      <c r="AM15" s="216">
        <f>IF(AM6=0,0,AM14/AM6)</f>
        <v/>
      </c>
      <c r="AN15" s="216">
        <f>IF(AN6=0,0,AN14/AN6)</f>
        <v/>
      </c>
      <c r="AO15" s="216">
        <f>IF(AO6=0,0,AO14/AO6)</f>
        <v/>
      </c>
      <c r="AP15" s="216">
        <f>IF(AP6=0,0,AP14/AP6)</f>
        <v/>
      </c>
      <c r="AQ15" s="216">
        <f>IF(AQ6=0,0,AQ14/AQ6)</f>
        <v/>
      </c>
      <c r="AR15" s="216">
        <f>IF(AR6=0,0,AR14/AR6)</f>
        <v/>
      </c>
      <c r="AS15" s="216">
        <f>IF(AS6=0,0,AS14/AS6)</f>
        <v/>
      </c>
      <c r="AT15" s="216">
        <f>IF(AT6=0,0,AT14/AT6)</f>
        <v/>
      </c>
      <c r="AU15" s="216">
        <f>IF(AU6=0,0,AU14/AU6)</f>
        <v/>
      </c>
      <c r="AV15" s="216">
        <f>IF(AV6=0,0,AV14/AV6)</f>
        <v/>
      </c>
      <c r="AW15" s="216">
        <f>IF(AW6=0,0,AW14/AW6)</f>
        <v/>
      </c>
      <c r="AX15" s="216">
        <f>IF(AX6=0,0,AX14/AX6)</f>
        <v/>
      </c>
      <c r="AY15" s="216">
        <f>IF(AY6=0,0,AY14/AY6)</f>
        <v/>
      </c>
      <c r="AZ15" s="216">
        <f>IF(AZ6=0,0,AZ14/AZ6)</f>
        <v/>
      </c>
      <c r="BA15" s="216">
        <f>IF(BA6=0,0,BA14/BA6)</f>
        <v/>
      </c>
      <c r="BB15" s="216">
        <f>IF(BB6=0,0,BB14/BB6)</f>
        <v/>
      </c>
      <c r="BC15" s="216">
        <f>IF(BC6=0,0,BC14/BC6)</f>
        <v/>
      </c>
      <c r="BD15" s="216">
        <f>IF(BD6=0,0,BD14/BD6)</f>
        <v/>
      </c>
      <c r="BE15" s="216">
        <f>IF(BE6=0,0,BE14/BE6)</f>
        <v/>
      </c>
      <c r="BF15" s="216">
        <f>IF(BF6=0,0,BF14/BF6)</f>
        <v/>
      </c>
      <c r="BG15" s="216">
        <f>IF(BG6=0,0,BG14/BG6)</f>
        <v/>
      </c>
      <c r="BH15" s="216">
        <f>IF(BH6=0,0,BH14/BH6)</f>
        <v/>
      </c>
      <c r="BI15" s="216">
        <f>IF(BI6=0,0,BI14/BI6)</f>
        <v/>
      </c>
      <c r="BJ15" s="216">
        <f>IF(BJ6=0,0,BJ14/BJ6)</f>
        <v/>
      </c>
      <c r="BL15" s="217">
        <f>IF((C6+D6+E6+F6+G6+H6+I6+J6+K6+L6+M6+N6)=0,0,(C14+D14+E14+F14+G14+H14+I14+J14+K14+L14+M14+N14)/(C6+D6+E6+F6+G6+H6+I6+J6+K6+L6+M6+N6))</f>
        <v/>
      </c>
      <c r="BM15" s="217">
        <f>IF((O6+P6+Q6+R6+S6+T6+U6+V6+W6+X6+Y6+Z6)=0,0,(O14+P14+Q14+R14+S14+T14+U14+V14+W14+X14+Y14+Z14)/(O6+P6+Q6+R6+S6+T6+U6+V6+W6+X6+Y6+Z6))</f>
        <v/>
      </c>
      <c r="BN15" s="217">
        <f>IF((AA6+AB6+AC6+AD6+AE6+AF6+AG6+AH6+AI6+AJ6+AK6+AL6)=0,0,(AA14+AB14+AC14+AD14+AE14+AF14+AG14+AH14+AI14+AJ14+AK14+AL14)/(AA6+AB6+AC6+AD6+AE6+AF6+AG6+AH6+AI6+AJ6+AK6+AL6))</f>
        <v/>
      </c>
      <c r="BO15" s="217">
        <f>IF((AM6+AN6+AO6+AP6+AQ6+AR6+AS6+AT6+AU6+AV6+AW6+AX6)=0,0,(AM14+AN14+AO14+AP14+AQ14+AR14+AS14+AT14+AU14+AV14+AW14+AX14)/(AM6+AN6+AO6+AP6+AQ6+AR6+AS6+AT6+AU6+AV6+AW6+AX6))</f>
        <v/>
      </c>
      <c r="BP15" s="217">
        <f>IF((AY6+AZ6+BA6+BB6+BC6+BD6+BE6+BF6+BG6+BH6+BI6+BJ6)=0,0,(AY14+AZ14+BA14+BB14+BC14+BD14+BE14+BF14+BG14+BH14+BI14+BJ14)/(AY6+AZ6+BA6+BB6+BC6+BD6+BE6+BF6+BG6+BH6+BI6+BJ6))</f>
        <v/>
      </c>
    </row>
    <row r="16" ht="15" customHeight="1" s="104">
      <c r="A16" s="107" t="inlineStr">
        <is>
          <t>Insurance</t>
        </is>
      </c>
      <c r="C16" s="156">
        <f>C6*(Assumptions!B32+Assumptions!B33*0)</f>
        <v/>
      </c>
      <c r="D16" s="156">
        <f>D6*(Assumptions!B32+Assumptions!B33*0)</f>
        <v/>
      </c>
      <c r="E16" s="156">
        <f>E6*(Assumptions!B32+Assumptions!B33*0)</f>
        <v/>
      </c>
      <c r="F16" s="156">
        <f>F6*(Assumptions!B32+Assumptions!B33*0)</f>
        <v/>
      </c>
      <c r="G16" s="156">
        <f>G6*(Assumptions!B32+Assumptions!B33*0)</f>
        <v/>
      </c>
      <c r="H16" s="156">
        <f>H6*(Assumptions!B32+Assumptions!B33*0)</f>
        <v/>
      </c>
      <c r="I16" s="156">
        <f>I6*(Assumptions!B32+Assumptions!B33*0)</f>
        <v/>
      </c>
      <c r="J16" s="156">
        <f>J6*(Assumptions!B32+Assumptions!B33*0)</f>
        <v/>
      </c>
      <c r="K16" s="156">
        <f>K6*(Assumptions!B32+Assumptions!B33*0)</f>
        <v/>
      </c>
      <c r="L16" s="156">
        <f>L6*(Assumptions!B32+Assumptions!B33*0)</f>
        <v/>
      </c>
      <c r="M16" s="156">
        <f>M6*(Assumptions!B32+Assumptions!B33*0)</f>
        <v/>
      </c>
      <c r="N16" s="156">
        <f>N6*(Assumptions!B32+Assumptions!B33*0)</f>
        <v/>
      </c>
      <c r="O16" s="156">
        <f>O6*(Assumptions!B32+Assumptions!B33*1)</f>
        <v/>
      </c>
      <c r="P16" s="156">
        <f>P6*(Assumptions!B32+Assumptions!B33*1)</f>
        <v/>
      </c>
      <c r="Q16" s="156">
        <f>Q6*(Assumptions!B32+Assumptions!B33*1)</f>
        <v/>
      </c>
      <c r="R16" s="156">
        <f>R6*(Assumptions!B32+Assumptions!B33*1)</f>
        <v/>
      </c>
      <c r="S16" s="156">
        <f>S6*(Assumptions!B32+Assumptions!B33*1)</f>
        <v/>
      </c>
      <c r="T16" s="156">
        <f>T6*(Assumptions!B32+Assumptions!B33*1)</f>
        <v/>
      </c>
      <c r="U16" s="156">
        <f>U6*(Assumptions!B32+Assumptions!B33*1)</f>
        <v/>
      </c>
      <c r="V16" s="156">
        <f>V6*(Assumptions!B32+Assumptions!B33*1)</f>
        <v/>
      </c>
      <c r="W16" s="156">
        <f>W6*(Assumptions!B32+Assumptions!B33*1)</f>
        <v/>
      </c>
      <c r="X16" s="156">
        <f>X6*(Assumptions!B32+Assumptions!B33*1)</f>
        <v/>
      </c>
      <c r="Y16" s="156">
        <f>Y6*(Assumptions!B32+Assumptions!B33*1)</f>
        <v/>
      </c>
      <c r="Z16" s="156">
        <f>Z6*(Assumptions!B32+Assumptions!B33*1)</f>
        <v/>
      </c>
      <c r="AA16" s="156">
        <f>AA6*(Assumptions!B32+Assumptions!B33*2)</f>
        <v/>
      </c>
      <c r="AB16" s="156">
        <f>AB6*(Assumptions!B32+Assumptions!B33*2)</f>
        <v/>
      </c>
      <c r="AC16" s="156">
        <f>AC6*(Assumptions!B32+Assumptions!B33*2)</f>
        <v/>
      </c>
      <c r="AD16" s="156">
        <f>AD6*(Assumptions!B32+Assumptions!B33*2)</f>
        <v/>
      </c>
      <c r="AE16" s="156">
        <f>AE6*(Assumptions!B32+Assumptions!B33*2)</f>
        <v/>
      </c>
      <c r="AF16" s="156">
        <f>AF6*(Assumptions!B32+Assumptions!B33*2)</f>
        <v/>
      </c>
      <c r="AG16" s="156">
        <f>AG6*(Assumptions!B32+Assumptions!B33*2)</f>
        <v/>
      </c>
      <c r="AH16" s="156">
        <f>AH6*(Assumptions!B32+Assumptions!B33*2)</f>
        <v/>
      </c>
      <c r="AI16" s="156">
        <f>AI6*(Assumptions!B32+Assumptions!B33*2)</f>
        <v/>
      </c>
      <c r="AJ16" s="156">
        <f>AJ6*(Assumptions!B32+Assumptions!B33*2)</f>
        <v/>
      </c>
      <c r="AK16" s="156">
        <f>AK6*(Assumptions!B32+Assumptions!B33*2)</f>
        <v/>
      </c>
      <c r="AL16" s="156">
        <f>AL6*(Assumptions!B32+Assumptions!B33*2)</f>
        <v/>
      </c>
      <c r="AM16" s="156">
        <f>AM6*(Assumptions!B32+Assumptions!B33*3)</f>
        <v/>
      </c>
      <c r="AN16" s="156">
        <f>AN6*(Assumptions!B32+Assumptions!B33*3)</f>
        <v/>
      </c>
      <c r="AO16" s="156">
        <f>AO6*(Assumptions!B32+Assumptions!B33*3)</f>
        <v/>
      </c>
      <c r="AP16" s="156">
        <f>AP6*(Assumptions!B32+Assumptions!B33*3)</f>
        <v/>
      </c>
      <c r="AQ16" s="156">
        <f>AQ6*(Assumptions!B32+Assumptions!B33*3)</f>
        <v/>
      </c>
      <c r="AR16" s="156">
        <f>AR6*(Assumptions!B32+Assumptions!B33*3)</f>
        <v/>
      </c>
      <c r="AS16" s="156">
        <f>AS6*(Assumptions!B32+Assumptions!B33*3)</f>
        <v/>
      </c>
      <c r="AT16" s="156">
        <f>AT6*(Assumptions!B32+Assumptions!B33*3)</f>
        <v/>
      </c>
      <c r="AU16" s="156">
        <f>AU6*(Assumptions!B32+Assumptions!B33*3)</f>
        <v/>
      </c>
      <c r="AV16" s="156">
        <f>AV6*(Assumptions!B32+Assumptions!B33*3)</f>
        <v/>
      </c>
      <c r="AW16" s="156">
        <f>AW6*(Assumptions!B32+Assumptions!B33*3)</f>
        <v/>
      </c>
      <c r="AX16" s="156">
        <f>AX6*(Assumptions!B32+Assumptions!B33*3)</f>
        <v/>
      </c>
      <c r="AY16" s="156">
        <f>AY6*(Assumptions!B32+Assumptions!B33*4)</f>
        <v/>
      </c>
      <c r="AZ16" s="156">
        <f>AZ6*(Assumptions!B32+Assumptions!B33*4)</f>
        <v/>
      </c>
      <c r="BA16" s="156">
        <f>BA6*(Assumptions!B32+Assumptions!B33*4)</f>
        <v/>
      </c>
      <c r="BB16" s="156">
        <f>BB6*(Assumptions!B32+Assumptions!B33*4)</f>
        <v/>
      </c>
      <c r="BC16" s="156">
        <f>BC6*(Assumptions!B32+Assumptions!B33*4)</f>
        <v/>
      </c>
      <c r="BD16" s="156">
        <f>BD6*(Assumptions!B32+Assumptions!B33*4)</f>
        <v/>
      </c>
      <c r="BE16" s="156">
        <f>BE6*(Assumptions!B32+Assumptions!B33*4)</f>
        <v/>
      </c>
      <c r="BF16" s="156">
        <f>BF6*(Assumptions!B32+Assumptions!B33*4)</f>
        <v/>
      </c>
      <c r="BG16" s="156">
        <f>BG6*(Assumptions!B32+Assumptions!B33*4)</f>
        <v/>
      </c>
      <c r="BH16" s="156">
        <f>BH6*(Assumptions!B32+Assumptions!B33*4)</f>
        <v/>
      </c>
      <c r="BI16" s="156">
        <f>BI6*(Assumptions!B32+Assumptions!B33*4)</f>
        <v/>
      </c>
      <c r="BJ16" s="156">
        <f>BJ6*(Assumptions!B32+Assumptions!B33*4)</f>
        <v/>
      </c>
      <c r="BL16" s="157">
        <f>C16+D16+E16+F16+G16+H16+I16+J16+K16+L16+M16+N16</f>
        <v/>
      </c>
      <c r="BM16" s="157">
        <f>O16+P16+Q16+R16+S16+T16+U16+V16+W16+X16+Y16+Z16</f>
        <v/>
      </c>
      <c r="BN16" s="157">
        <f>AA16+AB16+AC16+AD16+AE16+AF16+AG16+AH16+AI16+AJ16+AK16+AL16</f>
        <v/>
      </c>
      <c r="BO16" s="157">
        <f>AM16+AN16+AO16+AP16+AQ16+AR16+AS16+AT16+AU16+AV16+AW16+AX16</f>
        <v/>
      </c>
      <c r="BP16" s="157">
        <f>AY16+AZ16+BA16+BB16+BC16+BD16+BE16+BF16+BG16+BH16+BI16+BJ16</f>
        <v/>
      </c>
    </row>
    <row r="17" ht="15" customHeight="1" s="104">
      <c r="A17" s="215" t="inlineStr">
        <is>
          <t xml:space="preserve">    % of Revenue</t>
        </is>
      </c>
      <c r="C17" s="216">
        <f>IF(C6=0,0,C16/C6)</f>
        <v/>
      </c>
      <c r="D17" s="216">
        <f>IF(D6=0,0,D16/D6)</f>
        <v/>
      </c>
      <c r="E17" s="216">
        <f>IF(E6=0,0,E16/E6)</f>
        <v/>
      </c>
      <c r="F17" s="216">
        <f>IF(F6=0,0,F16/F6)</f>
        <v/>
      </c>
      <c r="G17" s="216">
        <f>IF(G6=0,0,G16/G6)</f>
        <v/>
      </c>
      <c r="H17" s="216">
        <f>IF(H6=0,0,H16/H6)</f>
        <v/>
      </c>
      <c r="I17" s="216">
        <f>IF(I6=0,0,I16/I6)</f>
        <v/>
      </c>
      <c r="J17" s="216">
        <f>IF(J6=0,0,J16/J6)</f>
        <v/>
      </c>
      <c r="K17" s="216">
        <f>IF(K6=0,0,K16/K6)</f>
        <v/>
      </c>
      <c r="L17" s="216">
        <f>IF(L6=0,0,L16/L6)</f>
        <v/>
      </c>
      <c r="M17" s="216">
        <f>IF(M6=0,0,M16/M6)</f>
        <v/>
      </c>
      <c r="N17" s="216">
        <f>IF(N6=0,0,N16/N6)</f>
        <v/>
      </c>
      <c r="O17" s="216">
        <f>IF(O6=0,0,O16/O6)</f>
        <v/>
      </c>
      <c r="P17" s="216">
        <f>IF(P6=0,0,P16/P6)</f>
        <v/>
      </c>
      <c r="Q17" s="216">
        <f>IF(Q6=0,0,Q16/Q6)</f>
        <v/>
      </c>
      <c r="R17" s="216">
        <f>IF(R6=0,0,R16/R6)</f>
        <v/>
      </c>
      <c r="S17" s="216">
        <f>IF(S6=0,0,S16/S6)</f>
        <v/>
      </c>
      <c r="T17" s="216">
        <f>IF(T6=0,0,T16/T6)</f>
        <v/>
      </c>
      <c r="U17" s="216">
        <f>IF(U6=0,0,U16/U6)</f>
        <v/>
      </c>
      <c r="V17" s="216">
        <f>IF(V6=0,0,V16/V6)</f>
        <v/>
      </c>
      <c r="W17" s="216">
        <f>IF(W6=0,0,W16/W6)</f>
        <v/>
      </c>
      <c r="X17" s="216">
        <f>IF(X6=0,0,X16/X6)</f>
        <v/>
      </c>
      <c r="Y17" s="216">
        <f>IF(Y6=0,0,Y16/Y6)</f>
        <v/>
      </c>
      <c r="Z17" s="216">
        <f>IF(Z6=0,0,Z16/Z6)</f>
        <v/>
      </c>
      <c r="AA17" s="216">
        <f>IF(AA6=0,0,AA16/AA6)</f>
        <v/>
      </c>
      <c r="AB17" s="216">
        <f>IF(AB6=0,0,AB16/AB6)</f>
        <v/>
      </c>
      <c r="AC17" s="216">
        <f>IF(AC6=0,0,AC16/AC6)</f>
        <v/>
      </c>
      <c r="AD17" s="216">
        <f>IF(AD6=0,0,AD16/AD6)</f>
        <v/>
      </c>
      <c r="AE17" s="216">
        <f>IF(AE6=0,0,AE16/AE6)</f>
        <v/>
      </c>
      <c r="AF17" s="216">
        <f>IF(AF6=0,0,AF16/AF6)</f>
        <v/>
      </c>
      <c r="AG17" s="216">
        <f>IF(AG6=0,0,AG16/AG6)</f>
        <v/>
      </c>
      <c r="AH17" s="216">
        <f>IF(AH6=0,0,AH16/AH6)</f>
        <v/>
      </c>
      <c r="AI17" s="216">
        <f>IF(AI6=0,0,AI16/AI6)</f>
        <v/>
      </c>
      <c r="AJ17" s="216">
        <f>IF(AJ6=0,0,AJ16/AJ6)</f>
        <v/>
      </c>
      <c r="AK17" s="216">
        <f>IF(AK6=0,0,AK16/AK6)</f>
        <v/>
      </c>
      <c r="AL17" s="216">
        <f>IF(AL6=0,0,AL16/AL6)</f>
        <v/>
      </c>
      <c r="AM17" s="216">
        <f>IF(AM6=0,0,AM16/AM6)</f>
        <v/>
      </c>
      <c r="AN17" s="216">
        <f>IF(AN6=0,0,AN16/AN6)</f>
        <v/>
      </c>
      <c r="AO17" s="216">
        <f>IF(AO6=0,0,AO16/AO6)</f>
        <v/>
      </c>
      <c r="AP17" s="216">
        <f>IF(AP6=0,0,AP16/AP6)</f>
        <v/>
      </c>
      <c r="AQ17" s="216">
        <f>IF(AQ6=0,0,AQ16/AQ6)</f>
        <v/>
      </c>
      <c r="AR17" s="216">
        <f>IF(AR6=0,0,AR16/AR6)</f>
        <v/>
      </c>
      <c r="AS17" s="216">
        <f>IF(AS6=0,0,AS16/AS6)</f>
        <v/>
      </c>
      <c r="AT17" s="216">
        <f>IF(AT6=0,0,AT16/AT6)</f>
        <v/>
      </c>
      <c r="AU17" s="216">
        <f>IF(AU6=0,0,AU16/AU6)</f>
        <v/>
      </c>
      <c r="AV17" s="216">
        <f>IF(AV6=0,0,AV16/AV6)</f>
        <v/>
      </c>
      <c r="AW17" s="216">
        <f>IF(AW6=0,0,AW16/AW6)</f>
        <v/>
      </c>
      <c r="AX17" s="216">
        <f>IF(AX6=0,0,AX16/AX6)</f>
        <v/>
      </c>
      <c r="AY17" s="216">
        <f>IF(AY6=0,0,AY16/AY6)</f>
        <v/>
      </c>
      <c r="AZ17" s="216">
        <f>IF(AZ6=0,0,AZ16/AZ6)</f>
        <v/>
      </c>
      <c r="BA17" s="216">
        <f>IF(BA6=0,0,BA16/BA6)</f>
        <v/>
      </c>
      <c r="BB17" s="216">
        <f>IF(BB6=0,0,BB16/BB6)</f>
        <v/>
      </c>
      <c r="BC17" s="216">
        <f>IF(BC6=0,0,BC16/BC6)</f>
        <v/>
      </c>
      <c r="BD17" s="216">
        <f>IF(BD6=0,0,BD16/BD6)</f>
        <v/>
      </c>
      <c r="BE17" s="216">
        <f>IF(BE6=0,0,BE16/BE6)</f>
        <v/>
      </c>
      <c r="BF17" s="216">
        <f>IF(BF6=0,0,BF16/BF6)</f>
        <v/>
      </c>
      <c r="BG17" s="216">
        <f>IF(BG6=0,0,BG16/BG6)</f>
        <v/>
      </c>
      <c r="BH17" s="216">
        <f>IF(BH6=0,0,BH16/BH6)</f>
        <v/>
      </c>
      <c r="BI17" s="216">
        <f>IF(BI6=0,0,BI16/BI6)</f>
        <v/>
      </c>
      <c r="BJ17" s="216">
        <f>IF(BJ6=0,0,BJ16/BJ6)</f>
        <v/>
      </c>
      <c r="BL17" s="217">
        <f>IF((C6+D6+E6+F6+G6+H6+I6+J6+K6+L6+M6+N6)=0,0,(C16+D16+E16+F16+G16+H16+I16+J16+K16+L16+M16+N16)/(C6+D6+E6+F6+G6+H6+I6+J6+K6+L6+M6+N6))</f>
        <v/>
      </c>
      <c r="BM17" s="217">
        <f>IF((O6+P6+Q6+R6+S6+T6+U6+V6+W6+X6+Y6+Z6)=0,0,(O16+P16+Q16+R16+S16+T16+U16+V16+W16+X16+Y16+Z16)/(O6+P6+Q6+R6+S6+T6+U6+V6+W6+X6+Y6+Z6))</f>
        <v/>
      </c>
      <c r="BN17" s="217">
        <f>IF((AA6+AB6+AC6+AD6+AE6+AF6+AG6+AH6+AI6+AJ6+AK6+AL6)=0,0,(AA16+AB16+AC16+AD16+AE16+AF16+AG16+AH16+AI16+AJ16+AK16+AL16)/(AA6+AB6+AC6+AD6+AE6+AF6+AG6+AH6+AI6+AJ6+AK6+AL6))</f>
        <v/>
      </c>
      <c r="BO17" s="217">
        <f>IF((AM6+AN6+AO6+AP6+AQ6+AR6+AS6+AT6+AU6+AV6+AW6+AX6)=0,0,(AM16+AN16+AO16+AP16+AQ16+AR16+AS16+AT16+AU16+AV16+AW16+AX16)/(AM6+AN6+AO6+AP6+AQ6+AR6+AS6+AT6+AU6+AV6+AW6+AX6))</f>
        <v/>
      </c>
      <c r="BP17" s="217">
        <f>IF((AY6+AZ6+BA6+BB6+BC6+BD6+BE6+BF6+BG6+BH6+BI6+BJ6)=0,0,(AY16+AZ16+BA16+BB16+BC16+BD16+BE16+BF16+BG16+BH16+BI16+BJ16)/(AY6+AZ6+BA6+BB6+BC6+BD6+BE6+BF6+BG6+BH6+BI6+BJ6))</f>
        <v/>
      </c>
    </row>
    <row r="18" ht="15" customHeight="1" s="104">
      <c r="A18" s="107" t="inlineStr">
        <is>
          <t>Other Operating Expenses</t>
        </is>
      </c>
      <c r="C18" s="156">
        <f>C6*(Assumptions!B34+Assumptions!B35*0)</f>
        <v/>
      </c>
      <c r="D18" s="156">
        <f>D6*(Assumptions!B34+Assumptions!B35*0)</f>
        <v/>
      </c>
      <c r="E18" s="156">
        <f>E6*(Assumptions!B34+Assumptions!B35*0)</f>
        <v/>
      </c>
      <c r="F18" s="156">
        <f>F6*(Assumptions!B34+Assumptions!B35*0)</f>
        <v/>
      </c>
      <c r="G18" s="156">
        <f>G6*(Assumptions!B34+Assumptions!B35*0)</f>
        <v/>
      </c>
      <c r="H18" s="156">
        <f>H6*(Assumptions!B34+Assumptions!B35*0)</f>
        <v/>
      </c>
      <c r="I18" s="156">
        <f>I6*(Assumptions!B34+Assumptions!B35*0)</f>
        <v/>
      </c>
      <c r="J18" s="156">
        <f>J6*(Assumptions!B34+Assumptions!B35*0)</f>
        <v/>
      </c>
      <c r="K18" s="156">
        <f>K6*(Assumptions!B34+Assumptions!B35*0)</f>
        <v/>
      </c>
      <c r="L18" s="156">
        <f>L6*(Assumptions!B34+Assumptions!B35*0)</f>
        <v/>
      </c>
      <c r="M18" s="156">
        <f>M6*(Assumptions!B34+Assumptions!B35*0)</f>
        <v/>
      </c>
      <c r="N18" s="156">
        <f>N6*(Assumptions!B34+Assumptions!B35*0)</f>
        <v/>
      </c>
      <c r="O18" s="156">
        <f>O6*(Assumptions!B34+Assumptions!B35*1)</f>
        <v/>
      </c>
      <c r="P18" s="156">
        <f>P6*(Assumptions!B34+Assumptions!B35*1)</f>
        <v/>
      </c>
      <c r="Q18" s="156">
        <f>Q6*(Assumptions!B34+Assumptions!B35*1)</f>
        <v/>
      </c>
      <c r="R18" s="156">
        <f>R6*(Assumptions!B34+Assumptions!B35*1)</f>
        <v/>
      </c>
      <c r="S18" s="156">
        <f>S6*(Assumptions!B34+Assumptions!B35*1)</f>
        <v/>
      </c>
      <c r="T18" s="156">
        <f>T6*(Assumptions!B34+Assumptions!B35*1)</f>
        <v/>
      </c>
      <c r="U18" s="156">
        <f>U6*(Assumptions!B34+Assumptions!B35*1)</f>
        <v/>
      </c>
      <c r="V18" s="156">
        <f>V6*(Assumptions!B34+Assumptions!B35*1)</f>
        <v/>
      </c>
      <c r="W18" s="156">
        <f>W6*(Assumptions!B34+Assumptions!B35*1)</f>
        <v/>
      </c>
      <c r="X18" s="156">
        <f>X6*(Assumptions!B34+Assumptions!B35*1)</f>
        <v/>
      </c>
      <c r="Y18" s="156">
        <f>Y6*(Assumptions!B34+Assumptions!B35*1)</f>
        <v/>
      </c>
      <c r="Z18" s="156">
        <f>Z6*(Assumptions!B34+Assumptions!B35*1)</f>
        <v/>
      </c>
      <c r="AA18" s="156">
        <f>AA6*(Assumptions!B34+Assumptions!B35*2)</f>
        <v/>
      </c>
      <c r="AB18" s="156">
        <f>AB6*(Assumptions!B34+Assumptions!B35*2)</f>
        <v/>
      </c>
      <c r="AC18" s="156">
        <f>AC6*(Assumptions!B34+Assumptions!B35*2)</f>
        <v/>
      </c>
      <c r="AD18" s="156">
        <f>AD6*(Assumptions!B34+Assumptions!B35*2)</f>
        <v/>
      </c>
      <c r="AE18" s="156">
        <f>AE6*(Assumptions!B34+Assumptions!B35*2)</f>
        <v/>
      </c>
      <c r="AF18" s="156">
        <f>AF6*(Assumptions!B34+Assumptions!B35*2)</f>
        <v/>
      </c>
      <c r="AG18" s="156">
        <f>AG6*(Assumptions!B34+Assumptions!B35*2)</f>
        <v/>
      </c>
      <c r="AH18" s="156">
        <f>AH6*(Assumptions!B34+Assumptions!B35*2)</f>
        <v/>
      </c>
      <c r="AI18" s="156">
        <f>AI6*(Assumptions!B34+Assumptions!B35*2)</f>
        <v/>
      </c>
      <c r="AJ18" s="156">
        <f>AJ6*(Assumptions!B34+Assumptions!B35*2)</f>
        <v/>
      </c>
      <c r="AK18" s="156">
        <f>AK6*(Assumptions!B34+Assumptions!B35*2)</f>
        <v/>
      </c>
      <c r="AL18" s="156">
        <f>AL6*(Assumptions!B34+Assumptions!B35*2)</f>
        <v/>
      </c>
      <c r="AM18" s="156">
        <f>AM6*(Assumptions!B34+Assumptions!B35*3)</f>
        <v/>
      </c>
      <c r="AN18" s="156">
        <f>AN6*(Assumptions!B34+Assumptions!B35*3)</f>
        <v/>
      </c>
      <c r="AO18" s="156">
        <f>AO6*(Assumptions!B34+Assumptions!B35*3)</f>
        <v/>
      </c>
      <c r="AP18" s="156">
        <f>AP6*(Assumptions!B34+Assumptions!B35*3)</f>
        <v/>
      </c>
      <c r="AQ18" s="156">
        <f>AQ6*(Assumptions!B34+Assumptions!B35*3)</f>
        <v/>
      </c>
      <c r="AR18" s="156">
        <f>AR6*(Assumptions!B34+Assumptions!B35*3)</f>
        <v/>
      </c>
      <c r="AS18" s="156">
        <f>AS6*(Assumptions!B34+Assumptions!B35*3)</f>
        <v/>
      </c>
      <c r="AT18" s="156">
        <f>AT6*(Assumptions!B34+Assumptions!B35*3)</f>
        <v/>
      </c>
      <c r="AU18" s="156">
        <f>AU6*(Assumptions!B34+Assumptions!B35*3)</f>
        <v/>
      </c>
      <c r="AV18" s="156">
        <f>AV6*(Assumptions!B34+Assumptions!B35*3)</f>
        <v/>
      </c>
      <c r="AW18" s="156">
        <f>AW6*(Assumptions!B34+Assumptions!B35*3)</f>
        <v/>
      </c>
      <c r="AX18" s="156">
        <f>AX6*(Assumptions!B34+Assumptions!B35*3)</f>
        <v/>
      </c>
      <c r="AY18" s="156">
        <f>AY6*(Assumptions!B34+Assumptions!B35*4)</f>
        <v/>
      </c>
      <c r="AZ18" s="156">
        <f>AZ6*(Assumptions!B34+Assumptions!B35*4)</f>
        <v/>
      </c>
      <c r="BA18" s="156">
        <f>BA6*(Assumptions!B34+Assumptions!B35*4)</f>
        <v/>
      </c>
      <c r="BB18" s="156">
        <f>BB6*(Assumptions!B34+Assumptions!B35*4)</f>
        <v/>
      </c>
      <c r="BC18" s="156">
        <f>BC6*(Assumptions!B34+Assumptions!B35*4)</f>
        <v/>
      </c>
      <c r="BD18" s="156">
        <f>BD6*(Assumptions!B34+Assumptions!B35*4)</f>
        <v/>
      </c>
      <c r="BE18" s="156">
        <f>BE6*(Assumptions!B34+Assumptions!B35*4)</f>
        <v/>
      </c>
      <c r="BF18" s="156">
        <f>BF6*(Assumptions!B34+Assumptions!B35*4)</f>
        <v/>
      </c>
      <c r="BG18" s="156">
        <f>BG6*(Assumptions!B34+Assumptions!B35*4)</f>
        <v/>
      </c>
      <c r="BH18" s="156">
        <f>BH6*(Assumptions!B34+Assumptions!B35*4)</f>
        <v/>
      </c>
      <c r="BI18" s="156">
        <f>BI6*(Assumptions!B34+Assumptions!B35*4)</f>
        <v/>
      </c>
      <c r="BJ18" s="156">
        <f>BJ6*(Assumptions!B34+Assumptions!B35*4)</f>
        <v/>
      </c>
      <c r="BL18" s="157">
        <f>C18+D18+E18+F18+G18+H18+I18+J18+K18+L18+M18+N18</f>
        <v/>
      </c>
      <c r="BM18" s="157">
        <f>O18+P18+Q18+R18+S18+T18+U18+V18+W18+X18+Y18+Z18</f>
        <v/>
      </c>
      <c r="BN18" s="157">
        <f>AA18+AB18+AC18+AD18+AE18+AF18+AG18+AH18+AI18+AJ18+AK18+AL18</f>
        <v/>
      </c>
      <c r="BO18" s="157">
        <f>AM18+AN18+AO18+AP18+AQ18+AR18+AS18+AT18+AU18+AV18+AW18+AX18</f>
        <v/>
      </c>
      <c r="BP18" s="157">
        <f>AY18+AZ18+BA18+BB18+BC18+BD18+BE18+BF18+BG18+BH18+BI18+BJ18</f>
        <v/>
      </c>
    </row>
    <row r="19" ht="15" customHeight="1" s="104">
      <c r="A19" s="215" t="inlineStr">
        <is>
          <t xml:space="preserve">    % of Revenue</t>
        </is>
      </c>
      <c r="C19" s="216">
        <f>IF(C6=0,0,C18/C6)</f>
        <v/>
      </c>
      <c r="D19" s="216">
        <f>IF(D6=0,0,D18/D6)</f>
        <v/>
      </c>
      <c r="E19" s="216">
        <f>IF(E6=0,0,E18/E6)</f>
        <v/>
      </c>
      <c r="F19" s="216">
        <f>IF(F6=0,0,F18/F6)</f>
        <v/>
      </c>
      <c r="G19" s="216">
        <f>IF(G6=0,0,G18/G6)</f>
        <v/>
      </c>
      <c r="H19" s="216">
        <f>IF(H6=0,0,H18/H6)</f>
        <v/>
      </c>
      <c r="I19" s="216">
        <f>IF(I6=0,0,I18/I6)</f>
        <v/>
      </c>
      <c r="J19" s="216">
        <f>IF(J6=0,0,J18/J6)</f>
        <v/>
      </c>
      <c r="K19" s="216">
        <f>IF(K6=0,0,K18/K6)</f>
        <v/>
      </c>
      <c r="L19" s="216">
        <f>IF(L6=0,0,L18/L6)</f>
        <v/>
      </c>
      <c r="M19" s="216">
        <f>IF(M6=0,0,M18/M6)</f>
        <v/>
      </c>
      <c r="N19" s="216">
        <f>IF(N6=0,0,N18/N6)</f>
        <v/>
      </c>
      <c r="O19" s="216">
        <f>IF(O6=0,0,O18/O6)</f>
        <v/>
      </c>
      <c r="P19" s="216">
        <f>IF(P6=0,0,P18/P6)</f>
        <v/>
      </c>
      <c r="Q19" s="216">
        <f>IF(Q6=0,0,Q18/Q6)</f>
        <v/>
      </c>
      <c r="R19" s="216">
        <f>IF(R6=0,0,R18/R6)</f>
        <v/>
      </c>
      <c r="S19" s="216">
        <f>IF(S6=0,0,S18/S6)</f>
        <v/>
      </c>
      <c r="T19" s="216">
        <f>IF(T6=0,0,T18/T6)</f>
        <v/>
      </c>
      <c r="U19" s="216">
        <f>IF(U6=0,0,U18/U6)</f>
        <v/>
      </c>
      <c r="V19" s="216">
        <f>IF(V6=0,0,V18/V6)</f>
        <v/>
      </c>
      <c r="W19" s="216">
        <f>IF(W6=0,0,W18/W6)</f>
        <v/>
      </c>
      <c r="X19" s="216">
        <f>IF(X6=0,0,X18/X6)</f>
        <v/>
      </c>
      <c r="Y19" s="216">
        <f>IF(Y6=0,0,Y18/Y6)</f>
        <v/>
      </c>
      <c r="Z19" s="216">
        <f>IF(Z6=0,0,Z18/Z6)</f>
        <v/>
      </c>
      <c r="AA19" s="216">
        <f>IF(AA6=0,0,AA18/AA6)</f>
        <v/>
      </c>
      <c r="AB19" s="216">
        <f>IF(AB6=0,0,AB18/AB6)</f>
        <v/>
      </c>
      <c r="AC19" s="216">
        <f>IF(AC6=0,0,AC18/AC6)</f>
        <v/>
      </c>
      <c r="AD19" s="216">
        <f>IF(AD6=0,0,AD18/AD6)</f>
        <v/>
      </c>
      <c r="AE19" s="216">
        <f>IF(AE6=0,0,AE18/AE6)</f>
        <v/>
      </c>
      <c r="AF19" s="216">
        <f>IF(AF6=0,0,AF18/AF6)</f>
        <v/>
      </c>
      <c r="AG19" s="216">
        <f>IF(AG6=0,0,AG18/AG6)</f>
        <v/>
      </c>
      <c r="AH19" s="216">
        <f>IF(AH6=0,0,AH18/AH6)</f>
        <v/>
      </c>
      <c r="AI19" s="216">
        <f>IF(AI6=0,0,AI18/AI6)</f>
        <v/>
      </c>
      <c r="AJ19" s="216">
        <f>IF(AJ6=0,0,AJ18/AJ6)</f>
        <v/>
      </c>
      <c r="AK19" s="216">
        <f>IF(AK6=0,0,AK18/AK6)</f>
        <v/>
      </c>
      <c r="AL19" s="216">
        <f>IF(AL6=0,0,AL18/AL6)</f>
        <v/>
      </c>
      <c r="AM19" s="216">
        <f>IF(AM6=0,0,AM18/AM6)</f>
        <v/>
      </c>
      <c r="AN19" s="216">
        <f>IF(AN6=0,0,AN18/AN6)</f>
        <v/>
      </c>
      <c r="AO19" s="216">
        <f>IF(AO6=0,0,AO18/AO6)</f>
        <v/>
      </c>
      <c r="AP19" s="216">
        <f>IF(AP6=0,0,AP18/AP6)</f>
        <v/>
      </c>
      <c r="AQ19" s="216">
        <f>IF(AQ6=0,0,AQ18/AQ6)</f>
        <v/>
      </c>
      <c r="AR19" s="216">
        <f>IF(AR6=0,0,AR18/AR6)</f>
        <v/>
      </c>
      <c r="AS19" s="216">
        <f>IF(AS6=0,0,AS18/AS6)</f>
        <v/>
      </c>
      <c r="AT19" s="216">
        <f>IF(AT6=0,0,AT18/AT6)</f>
        <v/>
      </c>
      <c r="AU19" s="216">
        <f>IF(AU6=0,0,AU18/AU6)</f>
        <v/>
      </c>
      <c r="AV19" s="216">
        <f>IF(AV6=0,0,AV18/AV6)</f>
        <v/>
      </c>
      <c r="AW19" s="216">
        <f>IF(AW6=0,0,AW18/AW6)</f>
        <v/>
      </c>
      <c r="AX19" s="216">
        <f>IF(AX6=0,0,AX18/AX6)</f>
        <v/>
      </c>
      <c r="AY19" s="216">
        <f>IF(AY6=0,0,AY18/AY6)</f>
        <v/>
      </c>
      <c r="AZ19" s="216">
        <f>IF(AZ6=0,0,AZ18/AZ6)</f>
        <v/>
      </c>
      <c r="BA19" s="216">
        <f>IF(BA6=0,0,BA18/BA6)</f>
        <v/>
      </c>
      <c r="BB19" s="216">
        <f>IF(BB6=0,0,BB18/BB6)</f>
        <v/>
      </c>
      <c r="BC19" s="216">
        <f>IF(BC6=0,0,BC18/BC6)</f>
        <v/>
      </c>
      <c r="BD19" s="216">
        <f>IF(BD6=0,0,BD18/BD6)</f>
        <v/>
      </c>
      <c r="BE19" s="216">
        <f>IF(BE6=0,0,BE18/BE6)</f>
        <v/>
      </c>
      <c r="BF19" s="216">
        <f>IF(BF6=0,0,BF18/BF6)</f>
        <v/>
      </c>
      <c r="BG19" s="216">
        <f>IF(BG6=0,0,BG18/BG6)</f>
        <v/>
      </c>
      <c r="BH19" s="216">
        <f>IF(BH6=0,0,BH18/BH6)</f>
        <v/>
      </c>
      <c r="BI19" s="216">
        <f>IF(BI6=0,0,BI18/BI6)</f>
        <v/>
      </c>
      <c r="BJ19" s="216">
        <f>IF(BJ6=0,0,BJ18/BJ6)</f>
        <v/>
      </c>
      <c r="BL19" s="217">
        <f>IF((C6+D6+E6+F6+G6+H6+I6+J6+K6+L6+M6+N6)=0,0,(C18+D18+E18+F18+G18+H18+I18+J18+K18+L18+M18+N18)/(C6+D6+E6+F6+G6+H6+I6+J6+K6+L6+M6+N6))</f>
        <v/>
      </c>
      <c r="BM19" s="217">
        <f>IF((O6+P6+Q6+R6+S6+T6+U6+V6+W6+X6+Y6+Z6)=0,0,(O18+P18+Q18+R18+S18+T18+U18+V18+W18+X18+Y18+Z18)/(O6+P6+Q6+R6+S6+T6+U6+V6+W6+X6+Y6+Z6))</f>
        <v/>
      </c>
      <c r="BN19" s="217">
        <f>IF((AA6+AB6+AC6+AD6+AE6+AF6+AG6+AH6+AI6+AJ6+AK6+AL6)=0,0,(AA18+AB18+AC18+AD18+AE18+AF18+AG18+AH18+AI18+AJ18+AK18+AL18)/(AA6+AB6+AC6+AD6+AE6+AF6+AG6+AH6+AI6+AJ6+AK6+AL6))</f>
        <v/>
      </c>
      <c r="BO19" s="217">
        <f>IF((AM6+AN6+AO6+AP6+AQ6+AR6+AS6+AT6+AU6+AV6+AW6+AX6)=0,0,(AM18+AN18+AO18+AP18+AQ18+AR18+AS18+AT18+AU18+AV18+AW18+AX18)/(AM6+AN6+AO6+AP6+AQ6+AR6+AS6+AT6+AU6+AV6+AW6+AX6))</f>
        <v/>
      </c>
      <c r="BP19" s="217">
        <f>IF((AY6+AZ6+BA6+BB6+BC6+BD6+BE6+BF6+BG6+BH6+BI6+BJ6)=0,0,(AY18+AZ18+BA18+BB18+BC18+BD18+BE18+BF18+BG18+BH18+BI18+BJ18)/(AY6+AZ6+BA6+BB6+BC6+BD6+BE6+BF6+BG6+BH6+BI6+BJ6))</f>
        <v/>
      </c>
    </row>
    <row r="20" ht="15" customHeight="1" s="104">
      <c r="A20" s="116" t="inlineStr">
        <is>
          <t>Total Operating Expenses</t>
        </is>
      </c>
      <c r="C20" s="151">
        <f>C8+C10+C12+C14+C16+C18</f>
        <v/>
      </c>
      <c r="D20" s="151">
        <f>D8+D10+D12+D14+D16+D18</f>
        <v/>
      </c>
      <c r="E20" s="151">
        <f>E8+E10+E12+E14+E16+E18</f>
        <v/>
      </c>
      <c r="F20" s="151">
        <f>F8+F10+F12+F14+F16+F18</f>
        <v/>
      </c>
      <c r="G20" s="151">
        <f>G8+G10+G12+G14+G16+G18</f>
        <v/>
      </c>
      <c r="H20" s="151">
        <f>H8+H10+H12+H14+H16+H18</f>
        <v/>
      </c>
      <c r="I20" s="151">
        <f>I8+I10+I12+I14+I16+I18</f>
        <v/>
      </c>
      <c r="J20" s="151">
        <f>J8+J10+J12+J14+J16+J18</f>
        <v/>
      </c>
      <c r="K20" s="151">
        <f>K8+K10+K12+K14+K16+K18</f>
        <v/>
      </c>
      <c r="L20" s="151">
        <f>L8+L10+L12+L14+L16+L18</f>
        <v/>
      </c>
      <c r="M20" s="151">
        <f>M8+M10+M12+M14+M16+M18</f>
        <v/>
      </c>
      <c r="N20" s="151">
        <f>N8+N10+N12+N14+N16+N18</f>
        <v/>
      </c>
      <c r="O20" s="151">
        <f>O8+O10+O12+O14+O16+O18</f>
        <v/>
      </c>
      <c r="P20" s="151">
        <f>P8+P10+P12+P14+P16+P18</f>
        <v/>
      </c>
      <c r="Q20" s="151">
        <f>Q8+Q10+Q12+Q14+Q16+Q18</f>
        <v/>
      </c>
      <c r="R20" s="151">
        <f>R8+R10+R12+R14+R16+R18</f>
        <v/>
      </c>
      <c r="S20" s="151">
        <f>S8+S10+S12+S14+S16+S18</f>
        <v/>
      </c>
      <c r="T20" s="151">
        <f>T8+T10+T12+T14+T16+T18</f>
        <v/>
      </c>
      <c r="U20" s="151">
        <f>U8+U10+U12+U14+U16+U18</f>
        <v/>
      </c>
      <c r="V20" s="151">
        <f>V8+V10+V12+V14+V16+V18</f>
        <v/>
      </c>
      <c r="W20" s="151">
        <f>W8+W10+W12+W14+W16+W18</f>
        <v/>
      </c>
      <c r="X20" s="151">
        <f>X8+X10+X12+X14+X16+X18</f>
        <v/>
      </c>
      <c r="Y20" s="151">
        <f>Y8+Y10+Y12+Y14+Y16+Y18</f>
        <v/>
      </c>
      <c r="Z20" s="151">
        <f>Z8+Z10+Z12+Z14+Z16+Z18</f>
        <v/>
      </c>
      <c r="AA20" s="151">
        <f>AA8+AA10+AA12+AA14+AA16+AA18</f>
        <v/>
      </c>
      <c r="AB20" s="151">
        <f>AB8+AB10+AB12+AB14+AB16+AB18</f>
        <v/>
      </c>
      <c r="AC20" s="151">
        <f>AC8+AC10+AC12+AC14+AC16+AC18</f>
        <v/>
      </c>
      <c r="AD20" s="151">
        <f>AD8+AD10+AD12+AD14+AD16+AD18</f>
        <v/>
      </c>
      <c r="AE20" s="151">
        <f>AE8+AE10+AE12+AE14+AE16+AE18</f>
        <v/>
      </c>
      <c r="AF20" s="151">
        <f>AF8+AF10+AF12+AF14+AF16+AF18</f>
        <v/>
      </c>
      <c r="AG20" s="151">
        <f>AG8+AG10+AG12+AG14+AG16+AG18</f>
        <v/>
      </c>
      <c r="AH20" s="151">
        <f>AH8+AH10+AH12+AH14+AH16+AH18</f>
        <v/>
      </c>
      <c r="AI20" s="151">
        <f>AI8+AI10+AI12+AI14+AI16+AI18</f>
        <v/>
      </c>
      <c r="AJ20" s="151">
        <f>AJ8+AJ10+AJ12+AJ14+AJ16+AJ18</f>
        <v/>
      </c>
      <c r="AK20" s="151">
        <f>AK8+AK10+AK12+AK14+AK16+AK18</f>
        <v/>
      </c>
      <c r="AL20" s="151">
        <f>AL8+AL10+AL12+AL14+AL16+AL18</f>
        <v/>
      </c>
      <c r="AM20" s="151">
        <f>AM8+AM10+AM12+AM14+AM16+AM18</f>
        <v/>
      </c>
      <c r="AN20" s="151">
        <f>AN8+AN10+AN12+AN14+AN16+AN18</f>
        <v/>
      </c>
      <c r="AO20" s="151">
        <f>AO8+AO10+AO12+AO14+AO16+AO18</f>
        <v/>
      </c>
      <c r="AP20" s="151">
        <f>AP8+AP10+AP12+AP14+AP16+AP18</f>
        <v/>
      </c>
      <c r="AQ20" s="151">
        <f>AQ8+AQ10+AQ12+AQ14+AQ16+AQ18</f>
        <v/>
      </c>
      <c r="AR20" s="151">
        <f>AR8+AR10+AR12+AR14+AR16+AR18</f>
        <v/>
      </c>
      <c r="AS20" s="151">
        <f>AS8+AS10+AS12+AS14+AS16+AS18</f>
        <v/>
      </c>
      <c r="AT20" s="151">
        <f>AT8+AT10+AT12+AT14+AT16+AT18</f>
        <v/>
      </c>
      <c r="AU20" s="151">
        <f>AU8+AU10+AU12+AU14+AU16+AU18</f>
        <v/>
      </c>
      <c r="AV20" s="151">
        <f>AV8+AV10+AV12+AV14+AV16+AV18</f>
        <v/>
      </c>
      <c r="AW20" s="151">
        <f>AW8+AW10+AW12+AW14+AW16+AW18</f>
        <v/>
      </c>
      <c r="AX20" s="151">
        <f>AX8+AX10+AX12+AX14+AX16+AX18</f>
        <v/>
      </c>
      <c r="AY20" s="151">
        <f>AY8+AY10+AY12+AY14+AY16+AY18</f>
        <v/>
      </c>
      <c r="AZ20" s="151">
        <f>AZ8+AZ10+AZ12+AZ14+AZ16+AZ18</f>
        <v/>
      </c>
      <c r="BA20" s="151">
        <f>BA8+BA10+BA12+BA14+BA16+BA18</f>
        <v/>
      </c>
      <c r="BB20" s="151">
        <f>BB8+BB10+BB12+BB14+BB16+BB18</f>
        <v/>
      </c>
      <c r="BC20" s="151">
        <f>BC8+BC10+BC12+BC14+BC16+BC18</f>
        <v/>
      </c>
      <c r="BD20" s="151">
        <f>BD8+BD10+BD12+BD14+BD16+BD18</f>
        <v/>
      </c>
      <c r="BE20" s="151">
        <f>BE8+BE10+BE12+BE14+BE16+BE18</f>
        <v/>
      </c>
      <c r="BF20" s="151">
        <f>BF8+BF10+BF12+BF14+BF16+BF18</f>
        <v/>
      </c>
      <c r="BG20" s="151">
        <f>BG8+BG10+BG12+BG14+BG16+BG18</f>
        <v/>
      </c>
      <c r="BH20" s="151">
        <f>BH8+BH10+BH12+BH14+BH16+BH18</f>
        <v/>
      </c>
      <c r="BI20" s="151">
        <f>BI8+BI10+BI12+BI14+BI16+BI18</f>
        <v/>
      </c>
      <c r="BJ20" s="151">
        <f>BJ8+BJ10+BJ12+BJ14+BJ16+BJ18</f>
        <v/>
      </c>
      <c r="BL20" s="152">
        <f>C20+D20+E20+F20+G20+H20+I20+J20+K20+L20+M20+N20</f>
        <v/>
      </c>
      <c r="BM20" s="152">
        <f>O20+P20+Q20+R20+S20+T20+U20+V20+W20+X20+Y20+Z20</f>
        <v/>
      </c>
      <c r="BN20" s="152">
        <f>AA20+AB20+AC20+AD20+AE20+AF20+AG20+AH20+AI20+AJ20+AK20+AL20</f>
        <v/>
      </c>
      <c r="BO20" s="152">
        <f>AM20+AN20+AO20+AP20+AQ20+AR20+AS20+AT20+AU20+AV20+AW20+AX20</f>
        <v/>
      </c>
      <c r="BP20" s="152">
        <f>AY20+AZ20+BA20+BB20+BC20+BD20+BE20+BF20+BG20+BH20+BI20+BJ20</f>
        <v/>
      </c>
    </row>
    <row r="21" ht="15" customHeight="1" s="104">
      <c r="A21" s="106" t="inlineStr">
        <is>
          <t>EBITDA</t>
        </is>
      </c>
    </row>
    <row r="22" ht="15" customHeight="1" s="104">
      <c r="A22" s="116" t="inlineStr">
        <is>
          <t>EBITDA</t>
        </is>
      </c>
      <c r="C22" s="151">
        <f>C6-C20</f>
        <v/>
      </c>
      <c r="D22" s="151">
        <f>D6-D20</f>
        <v/>
      </c>
      <c r="E22" s="151">
        <f>E6-E20</f>
        <v/>
      </c>
      <c r="F22" s="151">
        <f>F6-F20</f>
        <v/>
      </c>
      <c r="G22" s="151">
        <f>G6-G20</f>
        <v/>
      </c>
      <c r="H22" s="151">
        <f>H6-H20</f>
        <v/>
      </c>
      <c r="I22" s="151">
        <f>I6-I20</f>
        <v/>
      </c>
      <c r="J22" s="151">
        <f>J6-J20</f>
        <v/>
      </c>
      <c r="K22" s="151">
        <f>K6-K20</f>
        <v/>
      </c>
      <c r="L22" s="151">
        <f>L6-L20</f>
        <v/>
      </c>
      <c r="M22" s="151">
        <f>M6-M20</f>
        <v/>
      </c>
      <c r="N22" s="151">
        <f>N6-N20</f>
        <v/>
      </c>
      <c r="O22" s="151">
        <f>O6-O20</f>
        <v/>
      </c>
      <c r="P22" s="151">
        <f>P6-P20</f>
        <v/>
      </c>
      <c r="Q22" s="151">
        <f>Q6-Q20</f>
        <v/>
      </c>
      <c r="R22" s="151">
        <f>R6-R20</f>
        <v/>
      </c>
      <c r="S22" s="151">
        <f>S6-S20</f>
        <v/>
      </c>
      <c r="T22" s="151">
        <f>T6-T20</f>
        <v/>
      </c>
      <c r="U22" s="151">
        <f>U6-U20</f>
        <v/>
      </c>
      <c r="V22" s="151">
        <f>V6-V20</f>
        <v/>
      </c>
      <c r="W22" s="151">
        <f>W6-W20</f>
        <v/>
      </c>
      <c r="X22" s="151">
        <f>X6-X20</f>
        <v/>
      </c>
      <c r="Y22" s="151">
        <f>Y6-Y20</f>
        <v/>
      </c>
      <c r="Z22" s="151">
        <f>Z6-Z20</f>
        <v/>
      </c>
      <c r="AA22" s="151">
        <f>AA6-AA20</f>
        <v/>
      </c>
      <c r="AB22" s="151">
        <f>AB6-AB20</f>
        <v/>
      </c>
      <c r="AC22" s="151">
        <f>AC6-AC20</f>
        <v/>
      </c>
      <c r="AD22" s="151">
        <f>AD6-AD20</f>
        <v/>
      </c>
      <c r="AE22" s="151">
        <f>AE6-AE20</f>
        <v/>
      </c>
      <c r="AF22" s="151">
        <f>AF6-AF20</f>
        <v/>
      </c>
      <c r="AG22" s="151">
        <f>AG6-AG20</f>
        <v/>
      </c>
      <c r="AH22" s="151">
        <f>AH6-AH20</f>
        <v/>
      </c>
      <c r="AI22" s="151">
        <f>AI6-AI20</f>
        <v/>
      </c>
      <c r="AJ22" s="151">
        <f>AJ6-AJ20</f>
        <v/>
      </c>
      <c r="AK22" s="151">
        <f>AK6-AK20</f>
        <v/>
      </c>
      <c r="AL22" s="151">
        <f>AL6-AL20</f>
        <v/>
      </c>
      <c r="AM22" s="151">
        <f>AM6-AM20</f>
        <v/>
      </c>
      <c r="AN22" s="151">
        <f>AN6-AN20</f>
        <v/>
      </c>
      <c r="AO22" s="151">
        <f>AO6-AO20</f>
        <v/>
      </c>
      <c r="AP22" s="151">
        <f>AP6-AP20</f>
        <v/>
      </c>
      <c r="AQ22" s="151">
        <f>AQ6-AQ20</f>
        <v/>
      </c>
      <c r="AR22" s="151">
        <f>AR6-AR20</f>
        <v/>
      </c>
      <c r="AS22" s="151">
        <f>AS6-AS20</f>
        <v/>
      </c>
      <c r="AT22" s="151">
        <f>AT6-AT20</f>
        <v/>
      </c>
      <c r="AU22" s="151">
        <f>AU6-AU20</f>
        <v/>
      </c>
      <c r="AV22" s="151">
        <f>AV6-AV20</f>
        <v/>
      </c>
      <c r="AW22" s="151">
        <f>AW6-AW20</f>
        <v/>
      </c>
      <c r="AX22" s="151">
        <f>AX6-AX20</f>
        <v/>
      </c>
      <c r="AY22" s="151">
        <f>AY6-AY20</f>
        <v/>
      </c>
      <c r="AZ22" s="151">
        <f>AZ6-AZ20</f>
        <v/>
      </c>
      <c r="BA22" s="151">
        <f>BA6-BA20</f>
        <v/>
      </c>
      <c r="BB22" s="151">
        <f>BB6-BB20</f>
        <v/>
      </c>
      <c r="BC22" s="151">
        <f>BC6-BC20</f>
        <v/>
      </c>
      <c r="BD22" s="151">
        <f>BD6-BD20</f>
        <v/>
      </c>
      <c r="BE22" s="151">
        <f>BE6-BE20</f>
        <v/>
      </c>
      <c r="BF22" s="151">
        <f>BF6-BF20</f>
        <v/>
      </c>
      <c r="BG22" s="151">
        <f>BG6-BG20</f>
        <v/>
      </c>
      <c r="BH22" s="151">
        <f>BH6-BH20</f>
        <v/>
      </c>
      <c r="BI22" s="151">
        <f>BI6-BI20</f>
        <v/>
      </c>
      <c r="BJ22" s="151">
        <f>BJ6-BJ20</f>
        <v/>
      </c>
      <c r="BL22" s="152">
        <f>C22+D22+E22+F22+G22+H22+I22+J22+K22+L22+M22+N22</f>
        <v/>
      </c>
      <c r="BM22" s="152">
        <f>O22+P22+Q22+R22+S22+T22+U22+V22+W22+X22+Y22+Z22</f>
        <v/>
      </c>
      <c r="BN22" s="152">
        <f>AA22+AB22+AC22+AD22+AE22+AF22+AG22+AH22+AI22+AJ22+AK22+AL22</f>
        <v/>
      </c>
      <c r="BO22" s="152">
        <f>AM22+AN22+AO22+AP22+AQ22+AR22+AS22+AT22+AU22+AV22+AW22+AX22</f>
        <v/>
      </c>
      <c r="BP22" s="152">
        <f>AY22+AZ22+BA22+BB22+BC22+BD22+BE22+BF22+BG22+BH22+BI22+BJ22</f>
        <v/>
      </c>
    </row>
    <row r="23" ht="15" customHeight="1" s="104">
      <c r="A23" s="218" t="inlineStr">
        <is>
          <t xml:space="preserve">    EBITDA Margin %</t>
        </is>
      </c>
      <c r="C23" s="192">
        <f>IF(C6=0,0,C22/C6)</f>
        <v/>
      </c>
      <c r="D23" s="192">
        <f>IF(D6=0,0,D22/D6)</f>
        <v/>
      </c>
      <c r="E23" s="192">
        <f>IF(E6=0,0,E22/E6)</f>
        <v/>
      </c>
      <c r="F23" s="192">
        <f>IF(F6=0,0,F22/F6)</f>
        <v/>
      </c>
      <c r="G23" s="192">
        <f>IF(G6=0,0,G22/G6)</f>
        <v/>
      </c>
      <c r="H23" s="192">
        <f>IF(H6=0,0,H22/H6)</f>
        <v/>
      </c>
      <c r="I23" s="192">
        <f>IF(I6=0,0,I22/I6)</f>
        <v/>
      </c>
      <c r="J23" s="192">
        <f>IF(J6=0,0,J22/J6)</f>
        <v/>
      </c>
      <c r="K23" s="192">
        <f>IF(K6=0,0,K22/K6)</f>
        <v/>
      </c>
      <c r="L23" s="192">
        <f>IF(L6=0,0,L22/L6)</f>
        <v/>
      </c>
      <c r="M23" s="192">
        <f>IF(M6=0,0,M22/M6)</f>
        <v/>
      </c>
      <c r="N23" s="192">
        <f>IF(N6=0,0,N22/N6)</f>
        <v/>
      </c>
      <c r="O23" s="192">
        <f>IF(O6=0,0,O22/O6)</f>
        <v/>
      </c>
      <c r="P23" s="192">
        <f>IF(P6=0,0,P22/P6)</f>
        <v/>
      </c>
      <c r="Q23" s="192">
        <f>IF(Q6=0,0,Q22/Q6)</f>
        <v/>
      </c>
      <c r="R23" s="192">
        <f>IF(R6=0,0,R22/R6)</f>
        <v/>
      </c>
      <c r="S23" s="192">
        <f>IF(S6=0,0,S22/S6)</f>
        <v/>
      </c>
      <c r="T23" s="192">
        <f>IF(T6=0,0,T22/T6)</f>
        <v/>
      </c>
      <c r="U23" s="192">
        <f>IF(U6=0,0,U22/U6)</f>
        <v/>
      </c>
      <c r="V23" s="192">
        <f>IF(V6=0,0,V22/V6)</f>
        <v/>
      </c>
      <c r="W23" s="192">
        <f>IF(W6=0,0,W22/W6)</f>
        <v/>
      </c>
      <c r="X23" s="192">
        <f>IF(X6=0,0,X22/X6)</f>
        <v/>
      </c>
      <c r="Y23" s="192">
        <f>IF(Y6=0,0,Y22/Y6)</f>
        <v/>
      </c>
      <c r="Z23" s="192">
        <f>IF(Z6=0,0,Z22/Z6)</f>
        <v/>
      </c>
      <c r="AA23" s="192">
        <f>IF(AA6=0,0,AA22/AA6)</f>
        <v/>
      </c>
      <c r="AB23" s="192">
        <f>IF(AB6=0,0,AB22/AB6)</f>
        <v/>
      </c>
      <c r="AC23" s="192">
        <f>IF(AC6=0,0,AC22/AC6)</f>
        <v/>
      </c>
      <c r="AD23" s="192">
        <f>IF(AD6=0,0,AD22/AD6)</f>
        <v/>
      </c>
      <c r="AE23" s="192">
        <f>IF(AE6=0,0,AE22/AE6)</f>
        <v/>
      </c>
      <c r="AF23" s="192">
        <f>IF(AF6=0,0,AF22/AF6)</f>
        <v/>
      </c>
      <c r="AG23" s="192">
        <f>IF(AG6=0,0,AG22/AG6)</f>
        <v/>
      </c>
      <c r="AH23" s="192">
        <f>IF(AH6=0,0,AH22/AH6)</f>
        <v/>
      </c>
      <c r="AI23" s="192">
        <f>IF(AI6=0,0,AI22/AI6)</f>
        <v/>
      </c>
      <c r="AJ23" s="192">
        <f>IF(AJ6=0,0,AJ22/AJ6)</f>
        <v/>
      </c>
      <c r="AK23" s="192">
        <f>IF(AK6=0,0,AK22/AK6)</f>
        <v/>
      </c>
      <c r="AL23" s="192">
        <f>IF(AL6=0,0,AL22/AL6)</f>
        <v/>
      </c>
      <c r="AM23" s="192">
        <f>IF(AM6=0,0,AM22/AM6)</f>
        <v/>
      </c>
      <c r="AN23" s="192">
        <f>IF(AN6=0,0,AN22/AN6)</f>
        <v/>
      </c>
      <c r="AO23" s="192">
        <f>IF(AO6=0,0,AO22/AO6)</f>
        <v/>
      </c>
      <c r="AP23" s="192">
        <f>IF(AP6=0,0,AP22/AP6)</f>
        <v/>
      </c>
      <c r="AQ23" s="192">
        <f>IF(AQ6=0,0,AQ22/AQ6)</f>
        <v/>
      </c>
      <c r="AR23" s="192">
        <f>IF(AR6=0,0,AR22/AR6)</f>
        <v/>
      </c>
      <c r="AS23" s="192">
        <f>IF(AS6=0,0,AS22/AS6)</f>
        <v/>
      </c>
      <c r="AT23" s="192">
        <f>IF(AT6=0,0,AT22/AT6)</f>
        <v/>
      </c>
      <c r="AU23" s="192">
        <f>IF(AU6=0,0,AU22/AU6)</f>
        <v/>
      </c>
      <c r="AV23" s="192">
        <f>IF(AV6=0,0,AV22/AV6)</f>
        <v/>
      </c>
      <c r="AW23" s="192">
        <f>IF(AW6=0,0,AW22/AW6)</f>
        <v/>
      </c>
      <c r="AX23" s="192">
        <f>IF(AX6=0,0,AX22/AX6)</f>
        <v/>
      </c>
      <c r="AY23" s="192">
        <f>IF(AY6=0,0,AY22/AY6)</f>
        <v/>
      </c>
      <c r="AZ23" s="192">
        <f>IF(AZ6=0,0,AZ22/AZ6)</f>
        <v/>
      </c>
      <c r="BA23" s="192">
        <f>IF(BA6=0,0,BA22/BA6)</f>
        <v/>
      </c>
      <c r="BB23" s="192">
        <f>IF(BB6=0,0,BB22/BB6)</f>
        <v/>
      </c>
      <c r="BC23" s="192">
        <f>IF(BC6=0,0,BC22/BC6)</f>
        <v/>
      </c>
      <c r="BD23" s="192">
        <f>IF(BD6=0,0,BD22/BD6)</f>
        <v/>
      </c>
      <c r="BE23" s="192">
        <f>IF(BE6=0,0,BE22/BE6)</f>
        <v/>
      </c>
      <c r="BF23" s="192">
        <f>IF(BF6=0,0,BF22/BF6)</f>
        <v/>
      </c>
      <c r="BG23" s="192">
        <f>IF(BG6=0,0,BG22/BG6)</f>
        <v/>
      </c>
      <c r="BH23" s="192">
        <f>IF(BH6=0,0,BH22/BH6)</f>
        <v/>
      </c>
      <c r="BI23" s="192">
        <f>IF(BI6=0,0,BI22/BI6)</f>
        <v/>
      </c>
      <c r="BJ23" s="192">
        <f>IF(BJ6=0,0,BJ22/BJ6)</f>
        <v/>
      </c>
      <c r="BL23" s="219">
        <f>IF((C6+D6+E6+F6+G6+H6+I6+J6+K6+L6+M6+N6)=0,0,(C22+D22+E22+F22+G22+H22+I22+J22+K22+L22+M22+N22)/(C6+D6+E6+F6+G6+H6+I6+J6+K6+L6+M6+N6))</f>
        <v/>
      </c>
      <c r="BM23" s="219">
        <f>IF((O6+P6+Q6+R6+S6+T6+U6+V6+W6+X6+Y6+Z6)=0,0,(O22+P22+Q22+R22+S22+T22+U22+V22+W22+X22+Y22+Z22)/(O6+P6+Q6+R6+S6+T6+U6+V6+W6+X6+Y6+Z6))</f>
        <v/>
      </c>
      <c r="BN23" s="219">
        <f>IF((AA6+AB6+AC6+AD6+AE6+AF6+AG6+AH6+AI6+AJ6+AK6+AL6)=0,0,(AA22+AB22+AC22+AD22+AE22+AF22+AG22+AH22+AI22+AJ22+AK22+AL22)/(AA6+AB6+AC6+AD6+AE6+AF6+AG6+AH6+AI6+AJ6+AK6+AL6))</f>
        <v/>
      </c>
      <c r="BO23" s="219">
        <f>IF((AM6+AN6+AO6+AP6+AQ6+AR6+AS6+AT6+AU6+AV6+AW6+AX6)=0,0,(AM22+AN22+AO22+AP22+AQ22+AR22+AS22+AT22+AU22+AV22+AW22+AX22)/(AM6+AN6+AO6+AP6+AQ6+AR6+AS6+AT6+AU6+AV6+AW6+AX6))</f>
        <v/>
      </c>
      <c r="BP23" s="219">
        <f>IF((AY6+AZ6+BA6+BB6+BC6+BD6+BE6+BF6+BG6+BH6+BI6+BJ6)=0,0,(AY22+AZ22+BA22+BB22+BC22+BD22+BE22+BF22+BG22+BH22+BI22+BJ22)/(AY6+AZ6+BA6+BB6+BC6+BD6+BE6+BF6+BG6+BH6+BI6+BJ6))</f>
        <v/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13.xml><?xml version="1.0" encoding="utf-8"?>
<worksheet xmlns="http://schemas.openxmlformats.org/spreadsheetml/2006/main">
  <sheetPr filterMode="0">
    <tabColor rgb="FF5B9BD5"/>
    <outlinePr summaryBelow="1" summaryRight="1"/>
    <pageSetUpPr fitToPage="0"/>
  </sheetPr>
  <dimension ref="A1:BP2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baseColWidth="8" defaultColWidth="8.71484375" defaultRowHeight="15" zeroHeight="0" outlineLevelRow="0"/>
  <cols>
    <col width="38" customWidth="1" style="103" min="1" max="1"/>
    <col width="9" customWidth="1" style="103" min="3" max="62"/>
    <col width="11" customWidth="1" style="103" min="64" max="68"/>
  </cols>
  <sheetData>
    <row r="1" ht="19.5" customHeight="1" s="104">
      <c r="A1" s="105" t="inlineStr">
        <is>
          <t>Add-On 5 – Monthly P&amp;L ($mm)</t>
        </is>
      </c>
    </row>
    <row r="3" ht="15" customHeight="1" s="104">
      <c r="A3" s="116" t="inlineStr">
        <is>
          <t>($mm)</t>
        </is>
      </c>
      <c r="C3" s="149" t="inlineStr">
        <is>
          <t>Oct-26</t>
        </is>
      </c>
      <c r="D3" s="149" t="inlineStr">
        <is>
          <t>Nov-26</t>
        </is>
      </c>
      <c r="E3" s="149" t="inlineStr">
        <is>
          <t>Dec-26</t>
        </is>
      </c>
      <c r="F3" s="149" t="inlineStr">
        <is>
          <t>Jan-27</t>
        </is>
      </c>
      <c r="G3" s="149" t="inlineStr">
        <is>
          <t>Feb-27</t>
        </is>
      </c>
      <c r="H3" s="149" t="inlineStr">
        <is>
          <t>Mar-27</t>
        </is>
      </c>
      <c r="I3" s="149" t="inlineStr">
        <is>
          <t>Apr-27</t>
        </is>
      </c>
      <c r="J3" s="149" t="inlineStr">
        <is>
          <t>May-27</t>
        </is>
      </c>
      <c r="K3" s="149" t="inlineStr">
        <is>
          <t>Jun-27</t>
        </is>
      </c>
      <c r="L3" s="149" t="inlineStr">
        <is>
          <t>Jul-27</t>
        </is>
      </c>
      <c r="M3" s="149" t="inlineStr">
        <is>
          <t>Aug-27</t>
        </is>
      </c>
      <c r="N3" s="149" t="inlineStr">
        <is>
          <t>Sep-27</t>
        </is>
      </c>
      <c r="O3" s="149" t="inlineStr">
        <is>
          <t>Oct-27</t>
        </is>
      </c>
      <c r="P3" s="149" t="inlineStr">
        <is>
          <t>Nov-27</t>
        </is>
      </c>
      <c r="Q3" s="149" t="inlineStr">
        <is>
          <t>Dec-27</t>
        </is>
      </c>
      <c r="R3" s="149" t="inlineStr">
        <is>
          <t>Jan-28</t>
        </is>
      </c>
      <c r="S3" s="149" t="inlineStr">
        <is>
          <t>Feb-28</t>
        </is>
      </c>
      <c r="T3" s="149" t="inlineStr">
        <is>
          <t>Mar-28</t>
        </is>
      </c>
      <c r="U3" s="149" t="inlineStr">
        <is>
          <t>Apr-28</t>
        </is>
      </c>
      <c r="V3" s="149" t="inlineStr">
        <is>
          <t>May-28</t>
        </is>
      </c>
      <c r="W3" s="149" t="inlineStr">
        <is>
          <t>Jun-28</t>
        </is>
      </c>
      <c r="X3" s="149" t="inlineStr">
        <is>
          <t>Jul-28</t>
        </is>
      </c>
      <c r="Y3" s="149" t="inlineStr">
        <is>
          <t>Aug-28</t>
        </is>
      </c>
      <c r="Z3" s="149" t="inlineStr">
        <is>
          <t>Sep-28</t>
        </is>
      </c>
      <c r="AA3" s="149" t="inlineStr">
        <is>
          <t>Oct-28</t>
        </is>
      </c>
      <c r="AB3" s="149" t="inlineStr">
        <is>
          <t>Nov-28</t>
        </is>
      </c>
      <c r="AC3" s="149" t="inlineStr">
        <is>
          <t>Dec-28</t>
        </is>
      </c>
      <c r="AD3" s="149" t="inlineStr">
        <is>
          <t>Jan-29</t>
        </is>
      </c>
      <c r="AE3" s="149" t="inlineStr">
        <is>
          <t>Feb-29</t>
        </is>
      </c>
      <c r="AF3" s="149" t="inlineStr">
        <is>
          <t>Mar-29</t>
        </is>
      </c>
      <c r="AG3" s="149" t="inlineStr">
        <is>
          <t>Apr-29</t>
        </is>
      </c>
      <c r="AH3" s="149" t="inlineStr">
        <is>
          <t>May-29</t>
        </is>
      </c>
      <c r="AI3" s="149" t="inlineStr">
        <is>
          <t>Jun-29</t>
        </is>
      </c>
      <c r="AJ3" s="149" t="inlineStr">
        <is>
          <t>Jul-29</t>
        </is>
      </c>
      <c r="AK3" s="149" t="inlineStr">
        <is>
          <t>Aug-29</t>
        </is>
      </c>
      <c r="AL3" s="149" t="inlineStr">
        <is>
          <t>Sep-29</t>
        </is>
      </c>
      <c r="AM3" s="149" t="inlineStr">
        <is>
          <t>Oct-29</t>
        </is>
      </c>
      <c r="AN3" s="149" t="inlineStr">
        <is>
          <t>Nov-29</t>
        </is>
      </c>
      <c r="AO3" s="149" t="inlineStr">
        <is>
          <t>Dec-29</t>
        </is>
      </c>
      <c r="AP3" s="149" t="inlineStr">
        <is>
          <t>Jan-30</t>
        </is>
      </c>
      <c r="AQ3" s="149" t="inlineStr">
        <is>
          <t>Feb-30</t>
        </is>
      </c>
      <c r="AR3" s="149" t="inlineStr">
        <is>
          <t>Mar-30</t>
        </is>
      </c>
      <c r="AS3" s="149" t="inlineStr">
        <is>
          <t>Apr-30</t>
        </is>
      </c>
      <c r="AT3" s="149" t="inlineStr">
        <is>
          <t>May-30</t>
        </is>
      </c>
      <c r="AU3" s="149" t="inlineStr">
        <is>
          <t>Jun-30</t>
        </is>
      </c>
      <c r="AV3" s="149" t="inlineStr">
        <is>
          <t>Jul-30</t>
        </is>
      </c>
      <c r="AW3" s="149" t="inlineStr">
        <is>
          <t>Aug-30</t>
        </is>
      </c>
      <c r="AX3" s="149" t="inlineStr">
        <is>
          <t>Sep-30</t>
        </is>
      </c>
      <c r="AY3" s="149" t="inlineStr">
        <is>
          <t>Oct-30</t>
        </is>
      </c>
      <c r="AZ3" s="149" t="inlineStr">
        <is>
          <t>Nov-30</t>
        </is>
      </c>
      <c r="BA3" s="149" t="inlineStr">
        <is>
          <t>Dec-30</t>
        </is>
      </c>
      <c r="BB3" s="149" t="inlineStr">
        <is>
          <t>Jan-31</t>
        </is>
      </c>
      <c r="BC3" s="149" t="inlineStr">
        <is>
          <t>Feb-31</t>
        </is>
      </c>
      <c r="BD3" s="149" t="inlineStr">
        <is>
          <t>Mar-31</t>
        </is>
      </c>
      <c r="BE3" s="149" t="inlineStr">
        <is>
          <t>Apr-31</t>
        </is>
      </c>
      <c r="BF3" s="149" t="inlineStr">
        <is>
          <t>May-31</t>
        </is>
      </c>
      <c r="BG3" s="149" t="inlineStr">
        <is>
          <t>Jun-31</t>
        </is>
      </c>
      <c r="BH3" s="149" t="inlineStr">
        <is>
          <t>Jul-31</t>
        </is>
      </c>
      <c r="BI3" s="149" t="inlineStr">
        <is>
          <t>Aug-31</t>
        </is>
      </c>
      <c r="BJ3" s="149" t="inlineStr">
        <is>
          <t>Sep-31</t>
        </is>
      </c>
      <c r="BL3" s="150" t="inlineStr">
        <is>
          <t>FY1</t>
        </is>
      </c>
      <c r="BM3" s="150" t="inlineStr">
        <is>
          <t>FY2</t>
        </is>
      </c>
      <c r="BN3" s="150" t="inlineStr">
        <is>
          <t>FY3</t>
        </is>
      </c>
      <c r="BO3" s="150" t="inlineStr">
        <is>
          <t>FY4</t>
        </is>
      </c>
      <c r="BP3" s="150" t="inlineStr">
        <is>
          <t>FY5</t>
        </is>
      </c>
    </row>
    <row r="4" ht="15" customHeight="1" s="104">
      <c r="A4" s="213" t="inlineStr">
        <is>
          <t>Active (1=Yes)</t>
        </is>
      </c>
      <c r="C4" s="220">
        <f>IF(Assumptions!B55="",0,IF(IFERROR(DATEVALUE(TEXT(Assumptions!B55,"MM/DD/YYYY")),0)&lt;=DATE(2026,10,31),1,0))</f>
        <v/>
      </c>
      <c r="D4" s="220">
        <f>IF(Assumptions!B55="",0,IF(IFERROR(DATEVALUE(TEXT(Assumptions!B55,"MM/DD/YYYY")),0)&lt;=DATE(2026,11,30),1,0))</f>
        <v/>
      </c>
      <c r="E4" s="220">
        <f>IF(Assumptions!B55="",0,IF(IFERROR(DATEVALUE(TEXT(Assumptions!B55,"MM/DD/YYYY")),0)&lt;=DATE(2026,12,31),1,0))</f>
        <v/>
      </c>
      <c r="F4" s="220">
        <f>IF(Assumptions!B55="",0,IF(IFERROR(DATEVALUE(TEXT(Assumptions!B55,"MM/DD/YYYY")),0)&lt;=DATE(2027,1,31),1,0))</f>
        <v/>
      </c>
      <c r="G4" s="220">
        <f>IF(Assumptions!B55="",0,IF(IFERROR(DATEVALUE(TEXT(Assumptions!B55,"MM/DD/YYYY")),0)&lt;=DATE(2027,2,28),1,0))</f>
        <v/>
      </c>
      <c r="H4" s="220">
        <f>IF(Assumptions!B55="",0,IF(IFERROR(DATEVALUE(TEXT(Assumptions!B55,"MM/DD/YYYY")),0)&lt;=DATE(2027,3,31),1,0))</f>
        <v/>
      </c>
      <c r="I4" s="220">
        <f>IF(Assumptions!B55="",0,IF(IFERROR(DATEVALUE(TEXT(Assumptions!B55,"MM/DD/YYYY")),0)&lt;=DATE(2027,4,30),1,0))</f>
        <v/>
      </c>
      <c r="J4" s="220">
        <f>IF(Assumptions!B55="",0,IF(IFERROR(DATEVALUE(TEXT(Assumptions!B55,"MM/DD/YYYY")),0)&lt;=DATE(2027,5,31),1,0))</f>
        <v/>
      </c>
      <c r="K4" s="220">
        <f>IF(Assumptions!B55="",0,IF(IFERROR(DATEVALUE(TEXT(Assumptions!B55,"MM/DD/YYYY")),0)&lt;=DATE(2027,6,30),1,0))</f>
        <v/>
      </c>
      <c r="L4" s="220">
        <f>IF(Assumptions!B55="",0,IF(IFERROR(DATEVALUE(TEXT(Assumptions!B55,"MM/DD/YYYY")),0)&lt;=DATE(2027,7,31),1,0))</f>
        <v/>
      </c>
      <c r="M4" s="220">
        <f>IF(Assumptions!B55="",0,IF(IFERROR(DATEVALUE(TEXT(Assumptions!B55,"MM/DD/YYYY")),0)&lt;=DATE(2027,8,31),1,0))</f>
        <v/>
      </c>
      <c r="N4" s="220">
        <f>IF(Assumptions!B55="",0,IF(IFERROR(DATEVALUE(TEXT(Assumptions!B55,"MM/DD/YYYY")),0)&lt;=DATE(2027,9,30),1,0))</f>
        <v/>
      </c>
      <c r="O4" s="220">
        <f>IF(Assumptions!B55="",0,IF(IFERROR(DATEVALUE(TEXT(Assumptions!B55,"MM/DD/YYYY")),0)&lt;=DATE(2027,10,31),1,0))</f>
        <v/>
      </c>
      <c r="P4" s="220">
        <f>IF(Assumptions!B55="",0,IF(IFERROR(DATEVALUE(TEXT(Assumptions!B55,"MM/DD/YYYY")),0)&lt;=DATE(2027,11,30),1,0))</f>
        <v/>
      </c>
      <c r="Q4" s="220">
        <f>IF(Assumptions!B55="",0,IF(IFERROR(DATEVALUE(TEXT(Assumptions!B55,"MM/DD/YYYY")),0)&lt;=DATE(2027,12,31),1,0))</f>
        <v/>
      </c>
      <c r="R4" s="220">
        <f>IF(Assumptions!B55="",0,IF(IFERROR(DATEVALUE(TEXT(Assumptions!B55,"MM/DD/YYYY")),0)&lt;=DATE(2028,1,31),1,0))</f>
        <v/>
      </c>
      <c r="S4" s="220">
        <f>IF(Assumptions!B55="",0,IF(IFERROR(DATEVALUE(TEXT(Assumptions!B55,"MM/DD/YYYY")),0)&lt;=DATE(2028,2,29),1,0))</f>
        <v/>
      </c>
      <c r="T4" s="220">
        <f>IF(Assumptions!B55="",0,IF(IFERROR(DATEVALUE(TEXT(Assumptions!B55,"MM/DD/YYYY")),0)&lt;=DATE(2028,3,31),1,0))</f>
        <v/>
      </c>
      <c r="U4" s="220">
        <f>IF(Assumptions!B55="",0,IF(IFERROR(DATEVALUE(TEXT(Assumptions!B55,"MM/DD/YYYY")),0)&lt;=DATE(2028,4,30),1,0))</f>
        <v/>
      </c>
      <c r="V4" s="220">
        <f>IF(Assumptions!B55="",0,IF(IFERROR(DATEVALUE(TEXT(Assumptions!B55,"MM/DD/YYYY")),0)&lt;=DATE(2028,5,31),1,0))</f>
        <v/>
      </c>
      <c r="W4" s="220">
        <f>IF(Assumptions!B55="",0,IF(IFERROR(DATEVALUE(TEXT(Assumptions!B55,"MM/DD/YYYY")),0)&lt;=DATE(2028,6,30),1,0))</f>
        <v/>
      </c>
      <c r="X4" s="220">
        <f>IF(Assumptions!B55="",0,IF(IFERROR(DATEVALUE(TEXT(Assumptions!B55,"MM/DD/YYYY")),0)&lt;=DATE(2028,7,31),1,0))</f>
        <v/>
      </c>
      <c r="Y4" s="220">
        <f>IF(Assumptions!B55="",0,IF(IFERROR(DATEVALUE(TEXT(Assumptions!B55,"MM/DD/YYYY")),0)&lt;=DATE(2028,8,31),1,0))</f>
        <v/>
      </c>
      <c r="Z4" s="220">
        <f>IF(Assumptions!B55="",0,IF(IFERROR(DATEVALUE(TEXT(Assumptions!B55,"MM/DD/YYYY")),0)&lt;=DATE(2028,9,30),1,0))</f>
        <v/>
      </c>
      <c r="AA4" s="220">
        <f>IF(Assumptions!B55="",0,IF(IFERROR(DATEVALUE(TEXT(Assumptions!B55,"MM/DD/YYYY")),0)&lt;=DATE(2028,10,31),1,0))</f>
        <v/>
      </c>
      <c r="AB4" s="220">
        <f>IF(Assumptions!B55="",0,IF(IFERROR(DATEVALUE(TEXT(Assumptions!B55,"MM/DD/YYYY")),0)&lt;=DATE(2028,11,30),1,0))</f>
        <v/>
      </c>
      <c r="AC4" s="220">
        <f>IF(Assumptions!B55="",0,IF(IFERROR(DATEVALUE(TEXT(Assumptions!B55,"MM/DD/YYYY")),0)&lt;=DATE(2028,12,31),1,0))</f>
        <v/>
      </c>
      <c r="AD4" s="220">
        <f>IF(Assumptions!B55="",0,IF(IFERROR(DATEVALUE(TEXT(Assumptions!B55,"MM/DD/YYYY")),0)&lt;=DATE(2029,1,31),1,0))</f>
        <v/>
      </c>
      <c r="AE4" s="220">
        <f>IF(Assumptions!B55="",0,IF(IFERROR(DATEVALUE(TEXT(Assumptions!B55,"MM/DD/YYYY")),0)&lt;=DATE(2029,2,28),1,0))</f>
        <v/>
      </c>
      <c r="AF4" s="220">
        <f>IF(Assumptions!B55="",0,IF(IFERROR(DATEVALUE(TEXT(Assumptions!B55,"MM/DD/YYYY")),0)&lt;=DATE(2029,3,31),1,0))</f>
        <v/>
      </c>
      <c r="AG4" s="220">
        <f>IF(Assumptions!B55="",0,IF(IFERROR(DATEVALUE(TEXT(Assumptions!B55,"MM/DD/YYYY")),0)&lt;=DATE(2029,4,30),1,0))</f>
        <v/>
      </c>
      <c r="AH4" s="220">
        <f>IF(Assumptions!B55="",0,IF(IFERROR(DATEVALUE(TEXT(Assumptions!B55,"MM/DD/YYYY")),0)&lt;=DATE(2029,5,31),1,0))</f>
        <v/>
      </c>
      <c r="AI4" s="220">
        <f>IF(Assumptions!B55="",0,IF(IFERROR(DATEVALUE(TEXT(Assumptions!B55,"MM/DD/YYYY")),0)&lt;=DATE(2029,6,30),1,0))</f>
        <v/>
      </c>
      <c r="AJ4" s="220">
        <f>IF(Assumptions!B55="",0,IF(IFERROR(DATEVALUE(TEXT(Assumptions!B55,"MM/DD/YYYY")),0)&lt;=DATE(2029,7,31),1,0))</f>
        <v/>
      </c>
      <c r="AK4" s="220">
        <f>IF(Assumptions!B55="",0,IF(IFERROR(DATEVALUE(TEXT(Assumptions!B55,"MM/DD/YYYY")),0)&lt;=DATE(2029,8,31),1,0))</f>
        <v/>
      </c>
      <c r="AL4" s="220">
        <f>IF(Assumptions!B55="",0,IF(IFERROR(DATEVALUE(TEXT(Assumptions!B55,"MM/DD/YYYY")),0)&lt;=DATE(2029,9,30),1,0))</f>
        <v/>
      </c>
      <c r="AM4" s="220">
        <f>IF(Assumptions!B55="",0,IF(IFERROR(DATEVALUE(TEXT(Assumptions!B55,"MM/DD/YYYY")),0)&lt;=DATE(2029,10,31),1,0))</f>
        <v/>
      </c>
      <c r="AN4" s="220">
        <f>IF(Assumptions!B55="",0,IF(IFERROR(DATEVALUE(TEXT(Assumptions!B55,"MM/DD/YYYY")),0)&lt;=DATE(2029,11,30),1,0))</f>
        <v/>
      </c>
      <c r="AO4" s="220">
        <f>IF(Assumptions!B55="",0,IF(IFERROR(DATEVALUE(TEXT(Assumptions!B55,"MM/DD/YYYY")),0)&lt;=DATE(2029,12,31),1,0))</f>
        <v/>
      </c>
      <c r="AP4" s="220">
        <f>IF(Assumptions!B55="",0,IF(IFERROR(DATEVALUE(TEXT(Assumptions!B55,"MM/DD/YYYY")),0)&lt;=DATE(2030,1,31),1,0))</f>
        <v/>
      </c>
      <c r="AQ4" s="220">
        <f>IF(Assumptions!B55="",0,IF(IFERROR(DATEVALUE(TEXT(Assumptions!B55,"MM/DD/YYYY")),0)&lt;=DATE(2030,2,28),1,0))</f>
        <v/>
      </c>
      <c r="AR4" s="220">
        <f>IF(Assumptions!B55="",0,IF(IFERROR(DATEVALUE(TEXT(Assumptions!B55,"MM/DD/YYYY")),0)&lt;=DATE(2030,3,31),1,0))</f>
        <v/>
      </c>
      <c r="AS4" s="220">
        <f>IF(Assumptions!B55="",0,IF(IFERROR(DATEVALUE(TEXT(Assumptions!B55,"MM/DD/YYYY")),0)&lt;=DATE(2030,4,30),1,0))</f>
        <v/>
      </c>
      <c r="AT4" s="220">
        <f>IF(Assumptions!B55="",0,IF(IFERROR(DATEVALUE(TEXT(Assumptions!B55,"MM/DD/YYYY")),0)&lt;=DATE(2030,5,31),1,0))</f>
        <v/>
      </c>
      <c r="AU4" s="220">
        <f>IF(Assumptions!B55="",0,IF(IFERROR(DATEVALUE(TEXT(Assumptions!B55,"MM/DD/YYYY")),0)&lt;=DATE(2030,6,30),1,0))</f>
        <v/>
      </c>
      <c r="AV4" s="220">
        <f>IF(Assumptions!B55="",0,IF(IFERROR(DATEVALUE(TEXT(Assumptions!B55,"MM/DD/YYYY")),0)&lt;=DATE(2030,7,31),1,0))</f>
        <v/>
      </c>
      <c r="AW4" s="220">
        <f>IF(Assumptions!B55="",0,IF(IFERROR(DATEVALUE(TEXT(Assumptions!B55,"MM/DD/YYYY")),0)&lt;=DATE(2030,8,31),1,0))</f>
        <v/>
      </c>
      <c r="AX4" s="220">
        <f>IF(Assumptions!B55="",0,IF(IFERROR(DATEVALUE(TEXT(Assumptions!B55,"MM/DD/YYYY")),0)&lt;=DATE(2030,9,30),1,0))</f>
        <v/>
      </c>
      <c r="AY4" s="220">
        <f>IF(Assumptions!B55="",0,IF(IFERROR(DATEVALUE(TEXT(Assumptions!B55,"MM/DD/YYYY")),0)&lt;=DATE(2030,10,31),1,0))</f>
        <v/>
      </c>
      <c r="AZ4" s="220">
        <f>IF(Assumptions!B55="",0,IF(IFERROR(DATEVALUE(TEXT(Assumptions!B55,"MM/DD/YYYY")),0)&lt;=DATE(2030,11,30),1,0))</f>
        <v/>
      </c>
      <c r="BA4" s="220">
        <f>IF(Assumptions!B55="",0,IF(IFERROR(DATEVALUE(TEXT(Assumptions!B55,"MM/DD/YYYY")),0)&lt;=DATE(2030,12,31),1,0))</f>
        <v/>
      </c>
      <c r="BB4" s="220">
        <f>IF(Assumptions!B55="",0,IF(IFERROR(DATEVALUE(TEXT(Assumptions!B55,"MM/DD/YYYY")),0)&lt;=DATE(2031,1,31),1,0))</f>
        <v/>
      </c>
      <c r="BC4" s="220">
        <f>IF(Assumptions!B55="",0,IF(IFERROR(DATEVALUE(TEXT(Assumptions!B55,"MM/DD/YYYY")),0)&lt;=DATE(2031,2,28),1,0))</f>
        <v/>
      </c>
      <c r="BD4" s="220">
        <f>IF(Assumptions!B55="",0,IF(IFERROR(DATEVALUE(TEXT(Assumptions!B55,"MM/DD/YYYY")),0)&lt;=DATE(2031,3,31),1,0))</f>
        <v/>
      </c>
      <c r="BE4" s="220">
        <f>IF(Assumptions!B55="",0,IF(IFERROR(DATEVALUE(TEXT(Assumptions!B55,"MM/DD/YYYY")),0)&lt;=DATE(2031,4,30),1,0))</f>
        <v/>
      </c>
      <c r="BF4" s="220">
        <f>IF(Assumptions!B55="",0,IF(IFERROR(DATEVALUE(TEXT(Assumptions!B55,"MM/DD/YYYY")),0)&lt;=DATE(2031,5,31),1,0))</f>
        <v/>
      </c>
      <c r="BG4" s="220">
        <f>IF(Assumptions!B55="",0,IF(IFERROR(DATEVALUE(TEXT(Assumptions!B55,"MM/DD/YYYY")),0)&lt;=DATE(2031,6,30),1,0))</f>
        <v/>
      </c>
      <c r="BH4" s="220">
        <f>IF(Assumptions!B55="",0,IF(IFERROR(DATEVALUE(TEXT(Assumptions!B55,"MM/DD/YYYY")),0)&lt;=DATE(2031,7,31),1,0))</f>
        <v/>
      </c>
      <c r="BI4" s="220">
        <f>IF(Assumptions!B55="",0,IF(IFERROR(DATEVALUE(TEXT(Assumptions!B55,"MM/DD/YYYY")),0)&lt;=DATE(2031,8,31),1,0))</f>
        <v/>
      </c>
      <c r="BJ4" s="220">
        <f>IF(Assumptions!B55="",0,IF(IFERROR(DATEVALUE(TEXT(Assumptions!B55,"MM/DD/YYYY")),0)&lt;=DATE(2031,9,30),1,0))</f>
        <v/>
      </c>
    </row>
    <row r="5" ht="15" customHeight="1" s="104">
      <c r="A5" s="106" t="inlineStr">
        <is>
          <t>REVENUE</t>
        </is>
      </c>
    </row>
    <row r="6" ht="15" customHeight="1" s="104">
      <c r="A6" s="116" t="inlineStr">
        <is>
          <t>Monthly Revenue</t>
        </is>
      </c>
      <c r="C6" s="151">
        <f>IF(C4=0,0,(Assumptions!C55/12))</f>
        <v/>
      </c>
      <c r="D6" s="151">
        <f>IF(D4=0,0,(Assumptions!C55/12)*POWER(1+Assumptions!B17,1/12))</f>
        <v/>
      </c>
      <c r="E6" s="151">
        <f>IF(E4=0,0,(Assumptions!C55/12)*POWER(1+Assumptions!B17,2/12))</f>
        <v/>
      </c>
      <c r="F6" s="151">
        <f>IF(F4=0,0,(Assumptions!C55/12)*POWER(1+Assumptions!B17,3/12))</f>
        <v/>
      </c>
      <c r="G6" s="151">
        <f>IF(G4=0,0,(Assumptions!C55/12)*POWER(1+Assumptions!B17,4/12))</f>
        <v/>
      </c>
      <c r="H6" s="151">
        <f>IF(H4=0,0,(Assumptions!C55/12)*POWER(1+Assumptions!B17,5/12))</f>
        <v/>
      </c>
      <c r="I6" s="151">
        <f>IF(I4=0,0,(Assumptions!C55/12)*POWER(1+Assumptions!B17,6/12))</f>
        <v/>
      </c>
      <c r="J6" s="151">
        <f>IF(J4=0,0,(Assumptions!C55/12)*POWER(1+Assumptions!B17,7/12))</f>
        <v/>
      </c>
      <c r="K6" s="151">
        <f>IF(K4=0,0,(Assumptions!C55/12)*POWER(1+Assumptions!B17,8/12))</f>
        <v/>
      </c>
      <c r="L6" s="151">
        <f>IF(L4=0,0,(Assumptions!C55/12)*POWER(1+Assumptions!B17,9/12))</f>
        <v/>
      </c>
      <c r="M6" s="151">
        <f>IF(M4=0,0,(Assumptions!C55/12)*POWER(1+Assumptions!B17,10/12))</f>
        <v/>
      </c>
      <c r="N6" s="151">
        <f>IF(N4=0,0,(Assumptions!C55/12)*POWER(1+Assumptions!B17,11/12))</f>
        <v/>
      </c>
      <c r="O6" s="151">
        <f>IF(O4=0,0,(Assumptions!C55*(1+Assumptions!B17)/12))</f>
        <v/>
      </c>
      <c r="P6" s="151">
        <f>IF(P4=0,0,(Assumptions!C55*(1+Assumptions!B17)/12)*POWER(1+Assumptions!B18,1/12))</f>
        <v/>
      </c>
      <c r="Q6" s="151">
        <f>IF(Q4=0,0,(Assumptions!C55*(1+Assumptions!B17)/12)*POWER(1+Assumptions!B18,2/12))</f>
        <v/>
      </c>
      <c r="R6" s="151">
        <f>IF(R4=0,0,(Assumptions!C55*(1+Assumptions!B17)/12)*POWER(1+Assumptions!B18,3/12))</f>
        <v/>
      </c>
      <c r="S6" s="151">
        <f>IF(S4=0,0,(Assumptions!C55*(1+Assumptions!B17)/12)*POWER(1+Assumptions!B18,4/12))</f>
        <v/>
      </c>
      <c r="T6" s="151">
        <f>IF(T4=0,0,(Assumptions!C55*(1+Assumptions!B17)/12)*POWER(1+Assumptions!B18,5/12))</f>
        <v/>
      </c>
      <c r="U6" s="151">
        <f>IF(U4=0,0,(Assumptions!C55*(1+Assumptions!B17)/12)*POWER(1+Assumptions!B18,6/12))</f>
        <v/>
      </c>
      <c r="V6" s="151">
        <f>IF(V4=0,0,(Assumptions!C55*(1+Assumptions!B17)/12)*POWER(1+Assumptions!B18,7/12))</f>
        <v/>
      </c>
      <c r="W6" s="151">
        <f>IF(W4=0,0,(Assumptions!C55*(1+Assumptions!B17)/12)*POWER(1+Assumptions!B18,8/12))</f>
        <v/>
      </c>
      <c r="X6" s="151">
        <f>IF(X4=0,0,(Assumptions!C55*(1+Assumptions!B17)/12)*POWER(1+Assumptions!B18,9/12))</f>
        <v/>
      </c>
      <c r="Y6" s="151">
        <f>IF(Y4=0,0,(Assumptions!C55*(1+Assumptions!B17)/12)*POWER(1+Assumptions!B18,10/12))</f>
        <v/>
      </c>
      <c r="Z6" s="151">
        <f>IF(Z4=0,0,(Assumptions!C55*(1+Assumptions!B17)/12)*POWER(1+Assumptions!B18,11/12))</f>
        <v/>
      </c>
      <c r="AA6" s="151">
        <f>IF(AA4=0,0,(Assumptions!C55*(1+Assumptions!B17)*(1+Assumptions!B18)/12))</f>
        <v/>
      </c>
      <c r="AB6" s="151">
        <f>IF(AB4=0,0,(Assumptions!C55*(1+Assumptions!B17)*(1+Assumptions!B18)/12)*POWER(1+Assumptions!B19,1/12))</f>
        <v/>
      </c>
      <c r="AC6" s="151">
        <f>IF(AC4=0,0,(Assumptions!C55*(1+Assumptions!B17)*(1+Assumptions!B18)/12)*POWER(1+Assumptions!B19,2/12))</f>
        <v/>
      </c>
      <c r="AD6" s="151">
        <f>IF(AD4=0,0,(Assumptions!C55*(1+Assumptions!B17)*(1+Assumptions!B18)/12)*POWER(1+Assumptions!B19,3/12))</f>
        <v/>
      </c>
      <c r="AE6" s="151">
        <f>IF(AE4=0,0,(Assumptions!C55*(1+Assumptions!B17)*(1+Assumptions!B18)/12)*POWER(1+Assumptions!B19,4/12))</f>
        <v/>
      </c>
      <c r="AF6" s="151">
        <f>IF(AF4=0,0,(Assumptions!C55*(1+Assumptions!B17)*(1+Assumptions!B18)/12)*POWER(1+Assumptions!B19,5/12))</f>
        <v/>
      </c>
      <c r="AG6" s="151">
        <f>IF(AG4=0,0,(Assumptions!C55*(1+Assumptions!B17)*(1+Assumptions!B18)/12)*POWER(1+Assumptions!B19,6/12))</f>
        <v/>
      </c>
      <c r="AH6" s="151">
        <f>IF(AH4=0,0,(Assumptions!C55*(1+Assumptions!B17)*(1+Assumptions!B18)/12)*POWER(1+Assumptions!B19,7/12))</f>
        <v/>
      </c>
      <c r="AI6" s="151">
        <f>IF(AI4=0,0,(Assumptions!C55*(1+Assumptions!B17)*(1+Assumptions!B18)/12)*POWER(1+Assumptions!B19,8/12))</f>
        <v/>
      </c>
      <c r="AJ6" s="151">
        <f>IF(AJ4=0,0,(Assumptions!C55*(1+Assumptions!B17)*(1+Assumptions!B18)/12)*POWER(1+Assumptions!B19,9/12))</f>
        <v/>
      </c>
      <c r="AK6" s="151">
        <f>IF(AK4=0,0,(Assumptions!C55*(1+Assumptions!B17)*(1+Assumptions!B18)/12)*POWER(1+Assumptions!B19,10/12))</f>
        <v/>
      </c>
      <c r="AL6" s="151">
        <f>IF(AL4=0,0,(Assumptions!C55*(1+Assumptions!B17)*(1+Assumptions!B18)/12)*POWER(1+Assumptions!B19,11/12))</f>
        <v/>
      </c>
      <c r="AM6" s="151">
        <f>IF(AM4=0,0,(Assumptions!C55*(1+Assumptions!B17)*(1+Assumptions!B18)*(1+Assumptions!B19)/12))</f>
        <v/>
      </c>
      <c r="AN6" s="151">
        <f>IF(AN4=0,0,(Assumptions!C55*(1+Assumptions!B17)*(1+Assumptions!B18)*(1+Assumptions!B19)/12)*POWER(1+Assumptions!B20,1/12))</f>
        <v/>
      </c>
      <c r="AO6" s="151">
        <f>IF(AO4=0,0,(Assumptions!C55*(1+Assumptions!B17)*(1+Assumptions!B18)*(1+Assumptions!B19)/12)*POWER(1+Assumptions!B20,2/12))</f>
        <v/>
      </c>
      <c r="AP6" s="151">
        <f>IF(AP4=0,0,(Assumptions!C55*(1+Assumptions!B17)*(1+Assumptions!B18)*(1+Assumptions!B19)/12)*POWER(1+Assumptions!B20,3/12))</f>
        <v/>
      </c>
      <c r="AQ6" s="151">
        <f>IF(AQ4=0,0,(Assumptions!C55*(1+Assumptions!B17)*(1+Assumptions!B18)*(1+Assumptions!B19)/12)*POWER(1+Assumptions!B20,4/12))</f>
        <v/>
      </c>
      <c r="AR6" s="151">
        <f>IF(AR4=0,0,(Assumptions!C55*(1+Assumptions!B17)*(1+Assumptions!B18)*(1+Assumptions!B19)/12)*POWER(1+Assumptions!B20,5/12))</f>
        <v/>
      </c>
      <c r="AS6" s="151">
        <f>IF(AS4=0,0,(Assumptions!C55*(1+Assumptions!B17)*(1+Assumptions!B18)*(1+Assumptions!B19)/12)*POWER(1+Assumptions!B20,6/12))</f>
        <v/>
      </c>
      <c r="AT6" s="151">
        <f>IF(AT4=0,0,(Assumptions!C55*(1+Assumptions!B17)*(1+Assumptions!B18)*(1+Assumptions!B19)/12)*POWER(1+Assumptions!B20,7/12))</f>
        <v/>
      </c>
      <c r="AU6" s="151">
        <f>IF(AU4=0,0,(Assumptions!C55*(1+Assumptions!B17)*(1+Assumptions!B18)*(1+Assumptions!B19)/12)*POWER(1+Assumptions!B20,8/12))</f>
        <v/>
      </c>
      <c r="AV6" s="151">
        <f>IF(AV4=0,0,(Assumptions!C55*(1+Assumptions!B17)*(1+Assumptions!B18)*(1+Assumptions!B19)/12)*POWER(1+Assumptions!B20,9/12))</f>
        <v/>
      </c>
      <c r="AW6" s="151">
        <f>IF(AW4=0,0,(Assumptions!C55*(1+Assumptions!B17)*(1+Assumptions!B18)*(1+Assumptions!B19)/12)*POWER(1+Assumptions!B20,10/12))</f>
        <v/>
      </c>
      <c r="AX6" s="151">
        <f>IF(AX4=0,0,(Assumptions!C55*(1+Assumptions!B17)*(1+Assumptions!B18)*(1+Assumptions!B19)/12)*POWER(1+Assumptions!B20,11/12))</f>
        <v/>
      </c>
      <c r="AY6" s="151">
        <f>IF(AY4=0,0,(Assumptions!C55*(1+Assumptions!B17)*(1+Assumptions!B18)*(1+Assumptions!B19)*(1+Assumptions!B20)/12))</f>
        <v/>
      </c>
      <c r="AZ6" s="151">
        <f>IF(AZ4=0,0,(Assumptions!C55*(1+Assumptions!B17)*(1+Assumptions!B18)*(1+Assumptions!B19)*(1+Assumptions!B20)/12)*POWER(1+Assumptions!B21,1/12))</f>
        <v/>
      </c>
      <c r="BA6" s="151">
        <f>IF(BA4=0,0,(Assumptions!C55*(1+Assumptions!B17)*(1+Assumptions!B18)*(1+Assumptions!B19)*(1+Assumptions!B20)/12)*POWER(1+Assumptions!B21,2/12))</f>
        <v/>
      </c>
      <c r="BB6" s="151">
        <f>IF(BB4=0,0,(Assumptions!C55*(1+Assumptions!B17)*(1+Assumptions!B18)*(1+Assumptions!B19)*(1+Assumptions!B20)/12)*POWER(1+Assumptions!B21,3/12))</f>
        <v/>
      </c>
      <c r="BC6" s="151">
        <f>IF(BC4=0,0,(Assumptions!C55*(1+Assumptions!B17)*(1+Assumptions!B18)*(1+Assumptions!B19)*(1+Assumptions!B20)/12)*POWER(1+Assumptions!B21,4/12))</f>
        <v/>
      </c>
      <c r="BD6" s="151">
        <f>IF(BD4=0,0,(Assumptions!C55*(1+Assumptions!B17)*(1+Assumptions!B18)*(1+Assumptions!B19)*(1+Assumptions!B20)/12)*POWER(1+Assumptions!B21,5/12))</f>
        <v/>
      </c>
      <c r="BE6" s="151">
        <f>IF(BE4=0,0,(Assumptions!C55*(1+Assumptions!B17)*(1+Assumptions!B18)*(1+Assumptions!B19)*(1+Assumptions!B20)/12)*POWER(1+Assumptions!B21,6/12))</f>
        <v/>
      </c>
      <c r="BF6" s="151">
        <f>IF(BF4=0,0,(Assumptions!C55*(1+Assumptions!B17)*(1+Assumptions!B18)*(1+Assumptions!B19)*(1+Assumptions!B20)/12)*POWER(1+Assumptions!B21,7/12))</f>
        <v/>
      </c>
      <c r="BG6" s="151">
        <f>IF(BG4=0,0,(Assumptions!C55*(1+Assumptions!B17)*(1+Assumptions!B18)*(1+Assumptions!B19)*(1+Assumptions!B20)/12)*POWER(1+Assumptions!B21,8/12))</f>
        <v/>
      </c>
      <c r="BH6" s="151">
        <f>IF(BH4=0,0,(Assumptions!C55*(1+Assumptions!B17)*(1+Assumptions!B18)*(1+Assumptions!B19)*(1+Assumptions!B20)/12)*POWER(1+Assumptions!B21,9/12))</f>
        <v/>
      </c>
      <c r="BI6" s="151">
        <f>IF(BI4=0,0,(Assumptions!C55*(1+Assumptions!B17)*(1+Assumptions!B18)*(1+Assumptions!B19)*(1+Assumptions!B20)/12)*POWER(1+Assumptions!B21,10/12))</f>
        <v/>
      </c>
      <c r="BJ6" s="151">
        <f>IF(BJ4=0,0,(Assumptions!C55*(1+Assumptions!B17)*(1+Assumptions!B18)*(1+Assumptions!B19)*(1+Assumptions!B20)/12)*POWER(1+Assumptions!B21,11/12))</f>
        <v/>
      </c>
      <c r="BL6" s="152">
        <f>C6+D6+E6+F6+G6+H6+I6+J6+K6+L6+M6+N6</f>
        <v/>
      </c>
      <c r="BM6" s="152">
        <f>O6+P6+Q6+R6+S6+T6+U6+V6+W6+X6+Y6+Z6</f>
        <v/>
      </c>
      <c r="BN6" s="152">
        <f>AA6+AB6+AC6+AD6+AE6+AF6+AG6+AH6+AI6+AJ6+AK6+AL6</f>
        <v/>
      </c>
      <c r="BO6" s="152">
        <f>AM6+AN6+AO6+AP6+AQ6+AR6+AS6+AT6+AU6+AV6+AW6+AX6</f>
        <v/>
      </c>
      <c r="BP6" s="152">
        <f>AY6+AZ6+BA6+BB6+BC6+BD6+BE6+BF6+BG6+BH6+BI6+BJ6</f>
        <v/>
      </c>
    </row>
    <row r="7" ht="15" customHeight="1" s="104">
      <c r="A7" s="106" t="inlineStr">
        <is>
          <t>OPERATING EXPENSES</t>
        </is>
      </c>
    </row>
    <row r="8" ht="15" customHeight="1" s="104">
      <c r="A8" s="107" t="inlineStr">
        <is>
          <t>Attorney Compensation</t>
        </is>
      </c>
      <c r="C8" s="156">
        <f>C6*(Assumptions!B24+Assumptions!B25*0)</f>
        <v/>
      </c>
      <c r="D8" s="156">
        <f>D6*(Assumptions!B24+Assumptions!B25*0)</f>
        <v/>
      </c>
      <c r="E8" s="156">
        <f>E6*(Assumptions!B24+Assumptions!B25*0)</f>
        <v/>
      </c>
      <c r="F8" s="156">
        <f>F6*(Assumptions!B24+Assumptions!B25*0)</f>
        <v/>
      </c>
      <c r="G8" s="156">
        <f>G6*(Assumptions!B24+Assumptions!B25*0)</f>
        <v/>
      </c>
      <c r="H8" s="156">
        <f>H6*(Assumptions!B24+Assumptions!B25*0)</f>
        <v/>
      </c>
      <c r="I8" s="156">
        <f>I6*(Assumptions!B24+Assumptions!B25*0)</f>
        <v/>
      </c>
      <c r="J8" s="156">
        <f>J6*(Assumptions!B24+Assumptions!B25*0)</f>
        <v/>
      </c>
      <c r="K8" s="156">
        <f>K6*(Assumptions!B24+Assumptions!B25*0)</f>
        <v/>
      </c>
      <c r="L8" s="156">
        <f>L6*(Assumptions!B24+Assumptions!B25*0)</f>
        <v/>
      </c>
      <c r="M8" s="156">
        <f>M6*(Assumptions!B24+Assumptions!B25*0)</f>
        <v/>
      </c>
      <c r="N8" s="156">
        <f>N6*(Assumptions!B24+Assumptions!B25*0)</f>
        <v/>
      </c>
      <c r="O8" s="156">
        <f>O6*(Assumptions!B24+Assumptions!B25*1)</f>
        <v/>
      </c>
      <c r="P8" s="156">
        <f>P6*(Assumptions!B24+Assumptions!B25*1)</f>
        <v/>
      </c>
      <c r="Q8" s="156">
        <f>Q6*(Assumptions!B24+Assumptions!B25*1)</f>
        <v/>
      </c>
      <c r="R8" s="156">
        <f>R6*(Assumptions!B24+Assumptions!B25*1)</f>
        <v/>
      </c>
      <c r="S8" s="156">
        <f>S6*(Assumptions!B24+Assumptions!B25*1)</f>
        <v/>
      </c>
      <c r="T8" s="156">
        <f>T6*(Assumptions!B24+Assumptions!B25*1)</f>
        <v/>
      </c>
      <c r="U8" s="156">
        <f>U6*(Assumptions!B24+Assumptions!B25*1)</f>
        <v/>
      </c>
      <c r="V8" s="156">
        <f>V6*(Assumptions!B24+Assumptions!B25*1)</f>
        <v/>
      </c>
      <c r="W8" s="156">
        <f>W6*(Assumptions!B24+Assumptions!B25*1)</f>
        <v/>
      </c>
      <c r="X8" s="156">
        <f>X6*(Assumptions!B24+Assumptions!B25*1)</f>
        <v/>
      </c>
      <c r="Y8" s="156">
        <f>Y6*(Assumptions!B24+Assumptions!B25*1)</f>
        <v/>
      </c>
      <c r="Z8" s="156">
        <f>Z6*(Assumptions!B24+Assumptions!B25*1)</f>
        <v/>
      </c>
      <c r="AA8" s="156">
        <f>AA6*(Assumptions!B24+Assumptions!B25*2)</f>
        <v/>
      </c>
      <c r="AB8" s="156">
        <f>AB6*(Assumptions!B24+Assumptions!B25*2)</f>
        <v/>
      </c>
      <c r="AC8" s="156">
        <f>AC6*(Assumptions!B24+Assumptions!B25*2)</f>
        <v/>
      </c>
      <c r="AD8" s="156">
        <f>AD6*(Assumptions!B24+Assumptions!B25*2)</f>
        <v/>
      </c>
      <c r="AE8" s="156">
        <f>AE6*(Assumptions!B24+Assumptions!B25*2)</f>
        <v/>
      </c>
      <c r="AF8" s="156">
        <f>AF6*(Assumptions!B24+Assumptions!B25*2)</f>
        <v/>
      </c>
      <c r="AG8" s="156">
        <f>AG6*(Assumptions!B24+Assumptions!B25*2)</f>
        <v/>
      </c>
      <c r="AH8" s="156">
        <f>AH6*(Assumptions!B24+Assumptions!B25*2)</f>
        <v/>
      </c>
      <c r="AI8" s="156">
        <f>AI6*(Assumptions!B24+Assumptions!B25*2)</f>
        <v/>
      </c>
      <c r="AJ8" s="156">
        <f>AJ6*(Assumptions!B24+Assumptions!B25*2)</f>
        <v/>
      </c>
      <c r="AK8" s="156">
        <f>AK6*(Assumptions!B24+Assumptions!B25*2)</f>
        <v/>
      </c>
      <c r="AL8" s="156">
        <f>AL6*(Assumptions!B24+Assumptions!B25*2)</f>
        <v/>
      </c>
      <c r="AM8" s="156">
        <f>AM6*(Assumptions!B24+Assumptions!B25*3)</f>
        <v/>
      </c>
      <c r="AN8" s="156">
        <f>AN6*(Assumptions!B24+Assumptions!B25*3)</f>
        <v/>
      </c>
      <c r="AO8" s="156">
        <f>AO6*(Assumptions!B24+Assumptions!B25*3)</f>
        <v/>
      </c>
      <c r="AP8" s="156">
        <f>AP6*(Assumptions!B24+Assumptions!B25*3)</f>
        <v/>
      </c>
      <c r="AQ8" s="156">
        <f>AQ6*(Assumptions!B24+Assumptions!B25*3)</f>
        <v/>
      </c>
      <c r="AR8" s="156">
        <f>AR6*(Assumptions!B24+Assumptions!B25*3)</f>
        <v/>
      </c>
      <c r="AS8" s="156">
        <f>AS6*(Assumptions!B24+Assumptions!B25*3)</f>
        <v/>
      </c>
      <c r="AT8" s="156">
        <f>AT6*(Assumptions!B24+Assumptions!B25*3)</f>
        <v/>
      </c>
      <c r="AU8" s="156">
        <f>AU6*(Assumptions!B24+Assumptions!B25*3)</f>
        <v/>
      </c>
      <c r="AV8" s="156">
        <f>AV6*(Assumptions!B24+Assumptions!B25*3)</f>
        <v/>
      </c>
      <c r="AW8" s="156">
        <f>AW6*(Assumptions!B24+Assumptions!B25*3)</f>
        <v/>
      </c>
      <c r="AX8" s="156">
        <f>AX6*(Assumptions!B24+Assumptions!B25*3)</f>
        <v/>
      </c>
      <c r="AY8" s="156">
        <f>AY6*(Assumptions!B24+Assumptions!B25*4)</f>
        <v/>
      </c>
      <c r="AZ8" s="156">
        <f>AZ6*(Assumptions!B24+Assumptions!B25*4)</f>
        <v/>
      </c>
      <c r="BA8" s="156">
        <f>BA6*(Assumptions!B24+Assumptions!B25*4)</f>
        <v/>
      </c>
      <c r="BB8" s="156">
        <f>BB6*(Assumptions!B24+Assumptions!B25*4)</f>
        <v/>
      </c>
      <c r="BC8" s="156">
        <f>BC6*(Assumptions!B24+Assumptions!B25*4)</f>
        <v/>
      </c>
      <c r="BD8" s="156">
        <f>BD6*(Assumptions!B24+Assumptions!B25*4)</f>
        <v/>
      </c>
      <c r="BE8" s="156">
        <f>BE6*(Assumptions!B24+Assumptions!B25*4)</f>
        <v/>
      </c>
      <c r="BF8" s="156">
        <f>BF6*(Assumptions!B24+Assumptions!B25*4)</f>
        <v/>
      </c>
      <c r="BG8" s="156">
        <f>BG6*(Assumptions!B24+Assumptions!B25*4)</f>
        <v/>
      </c>
      <c r="BH8" s="156">
        <f>BH6*(Assumptions!B24+Assumptions!B25*4)</f>
        <v/>
      </c>
      <c r="BI8" s="156">
        <f>BI6*(Assumptions!B24+Assumptions!B25*4)</f>
        <v/>
      </c>
      <c r="BJ8" s="156">
        <f>BJ6*(Assumptions!B24+Assumptions!B25*4)</f>
        <v/>
      </c>
      <c r="BL8" s="157">
        <f>C8+D8+E8+F8+G8+H8+I8+J8+K8+L8+M8+N8</f>
        <v/>
      </c>
      <c r="BM8" s="157">
        <f>O8+P8+Q8+R8+S8+T8+U8+V8+W8+X8+Y8+Z8</f>
        <v/>
      </c>
      <c r="BN8" s="157">
        <f>AA8+AB8+AC8+AD8+AE8+AF8+AG8+AH8+AI8+AJ8+AK8+AL8</f>
        <v/>
      </c>
      <c r="BO8" s="157">
        <f>AM8+AN8+AO8+AP8+AQ8+AR8+AS8+AT8+AU8+AV8+AW8+AX8</f>
        <v/>
      </c>
      <c r="BP8" s="157">
        <f>AY8+AZ8+BA8+BB8+BC8+BD8+BE8+BF8+BG8+BH8+BI8+BJ8</f>
        <v/>
      </c>
    </row>
    <row r="9" ht="15" customHeight="1" s="104">
      <c r="A9" s="215" t="inlineStr">
        <is>
          <t xml:space="preserve">    % of Revenue</t>
        </is>
      </c>
      <c r="C9" s="216">
        <f>IF(C6=0,0,C8/C6)</f>
        <v/>
      </c>
      <c r="D9" s="216">
        <f>IF(D6=0,0,D8/D6)</f>
        <v/>
      </c>
      <c r="E9" s="216">
        <f>IF(E6=0,0,E8/E6)</f>
        <v/>
      </c>
      <c r="F9" s="216">
        <f>IF(F6=0,0,F8/F6)</f>
        <v/>
      </c>
      <c r="G9" s="216">
        <f>IF(G6=0,0,G8/G6)</f>
        <v/>
      </c>
      <c r="H9" s="216">
        <f>IF(H6=0,0,H8/H6)</f>
        <v/>
      </c>
      <c r="I9" s="216">
        <f>IF(I6=0,0,I8/I6)</f>
        <v/>
      </c>
      <c r="J9" s="216">
        <f>IF(J6=0,0,J8/J6)</f>
        <v/>
      </c>
      <c r="K9" s="216">
        <f>IF(K6=0,0,K8/K6)</f>
        <v/>
      </c>
      <c r="L9" s="216">
        <f>IF(L6=0,0,L8/L6)</f>
        <v/>
      </c>
      <c r="M9" s="216">
        <f>IF(M6=0,0,M8/M6)</f>
        <v/>
      </c>
      <c r="N9" s="216">
        <f>IF(N6=0,0,N8/N6)</f>
        <v/>
      </c>
      <c r="O9" s="216">
        <f>IF(O6=0,0,O8/O6)</f>
        <v/>
      </c>
      <c r="P9" s="216">
        <f>IF(P6=0,0,P8/P6)</f>
        <v/>
      </c>
      <c r="Q9" s="216">
        <f>IF(Q6=0,0,Q8/Q6)</f>
        <v/>
      </c>
      <c r="R9" s="216">
        <f>IF(R6=0,0,R8/R6)</f>
        <v/>
      </c>
      <c r="S9" s="216">
        <f>IF(S6=0,0,S8/S6)</f>
        <v/>
      </c>
      <c r="T9" s="216">
        <f>IF(T6=0,0,T8/T6)</f>
        <v/>
      </c>
      <c r="U9" s="216">
        <f>IF(U6=0,0,U8/U6)</f>
        <v/>
      </c>
      <c r="V9" s="216">
        <f>IF(V6=0,0,V8/V6)</f>
        <v/>
      </c>
      <c r="W9" s="216">
        <f>IF(W6=0,0,W8/W6)</f>
        <v/>
      </c>
      <c r="X9" s="216">
        <f>IF(X6=0,0,X8/X6)</f>
        <v/>
      </c>
      <c r="Y9" s="216">
        <f>IF(Y6=0,0,Y8/Y6)</f>
        <v/>
      </c>
      <c r="Z9" s="216">
        <f>IF(Z6=0,0,Z8/Z6)</f>
        <v/>
      </c>
      <c r="AA9" s="216">
        <f>IF(AA6=0,0,AA8/AA6)</f>
        <v/>
      </c>
      <c r="AB9" s="216">
        <f>IF(AB6=0,0,AB8/AB6)</f>
        <v/>
      </c>
      <c r="AC9" s="216">
        <f>IF(AC6=0,0,AC8/AC6)</f>
        <v/>
      </c>
      <c r="AD9" s="216">
        <f>IF(AD6=0,0,AD8/AD6)</f>
        <v/>
      </c>
      <c r="AE9" s="216">
        <f>IF(AE6=0,0,AE8/AE6)</f>
        <v/>
      </c>
      <c r="AF9" s="216">
        <f>IF(AF6=0,0,AF8/AF6)</f>
        <v/>
      </c>
      <c r="AG9" s="216">
        <f>IF(AG6=0,0,AG8/AG6)</f>
        <v/>
      </c>
      <c r="AH9" s="216">
        <f>IF(AH6=0,0,AH8/AH6)</f>
        <v/>
      </c>
      <c r="AI9" s="216">
        <f>IF(AI6=0,0,AI8/AI6)</f>
        <v/>
      </c>
      <c r="AJ9" s="216">
        <f>IF(AJ6=0,0,AJ8/AJ6)</f>
        <v/>
      </c>
      <c r="AK9" s="216">
        <f>IF(AK6=0,0,AK8/AK6)</f>
        <v/>
      </c>
      <c r="AL9" s="216">
        <f>IF(AL6=0,0,AL8/AL6)</f>
        <v/>
      </c>
      <c r="AM9" s="216">
        <f>IF(AM6=0,0,AM8/AM6)</f>
        <v/>
      </c>
      <c r="AN9" s="216">
        <f>IF(AN6=0,0,AN8/AN6)</f>
        <v/>
      </c>
      <c r="AO9" s="216">
        <f>IF(AO6=0,0,AO8/AO6)</f>
        <v/>
      </c>
      <c r="AP9" s="216">
        <f>IF(AP6=0,0,AP8/AP6)</f>
        <v/>
      </c>
      <c r="AQ9" s="216">
        <f>IF(AQ6=0,0,AQ8/AQ6)</f>
        <v/>
      </c>
      <c r="AR9" s="216">
        <f>IF(AR6=0,0,AR8/AR6)</f>
        <v/>
      </c>
      <c r="AS9" s="216">
        <f>IF(AS6=0,0,AS8/AS6)</f>
        <v/>
      </c>
      <c r="AT9" s="216">
        <f>IF(AT6=0,0,AT8/AT6)</f>
        <v/>
      </c>
      <c r="AU9" s="216">
        <f>IF(AU6=0,0,AU8/AU6)</f>
        <v/>
      </c>
      <c r="AV9" s="216">
        <f>IF(AV6=0,0,AV8/AV6)</f>
        <v/>
      </c>
      <c r="AW9" s="216">
        <f>IF(AW6=0,0,AW8/AW6)</f>
        <v/>
      </c>
      <c r="AX9" s="216">
        <f>IF(AX6=0,0,AX8/AX6)</f>
        <v/>
      </c>
      <c r="AY9" s="216">
        <f>IF(AY6=0,0,AY8/AY6)</f>
        <v/>
      </c>
      <c r="AZ9" s="216">
        <f>IF(AZ6=0,0,AZ8/AZ6)</f>
        <v/>
      </c>
      <c r="BA9" s="216">
        <f>IF(BA6=0,0,BA8/BA6)</f>
        <v/>
      </c>
      <c r="BB9" s="216">
        <f>IF(BB6=0,0,BB8/BB6)</f>
        <v/>
      </c>
      <c r="BC9" s="216">
        <f>IF(BC6=0,0,BC8/BC6)</f>
        <v/>
      </c>
      <c r="BD9" s="216">
        <f>IF(BD6=0,0,BD8/BD6)</f>
        <v/>
      </c>
      <c r="BE9" s="216">
        <f>IF(BE6=0,0,BE8/BE6)</f>
        <v/>
      </c>
      <c r="BF9" s="216">
        <f>IF(BF6=0,0,BF8/BF6)</f>
        <v/>
      </c>
      <c r="BG9" s="216">
        <f>IF(BG6=0,0,BG8/BG6)</f>
        <v/>
      </c>
      <c r="BH9" s="216">
        <f>IF(BH6=0,0,BH8/BH6)</f>
        <v/>
      </c>
      <c r="BI9" s="216">
        <f>IF(BI6=0,0,BI8/BI6)</f>
        <v/>
      </c>
      <c r="BJ9" s="216">
        <f>IF(BJ6=0,0,BJ8/BJ6)</f>
        <v/>
      </c>
      <c r="BL9" s="217">
        <f>IF((C6+D6+E6+F6+G6+H6+I6+J6+K6+L6+M6+N6)=0,0,(C8+D8+E8+F8+G8+H8+I8+J8+K8+L8+M8+N8)/(C6+D6+E6+F6+G6+H6+I6+J6+K6+L6+M6+N6))</f>
        <v/>
      </c>
      <c r="BM9" s="217">
        <f>IF((O6+P6+Q6+R6+S6+T6+U6+V6+W6+X6+Y6+Z6)=0,0,(O8+P8+Q8+R8+S8+T8+U8+V8+W8+X8+Y8+Z8)/(O6+P6+Q6+R6+S6+T6+U6+V6+W6+X6+Y6+Z6))</f>
        <v/>
      </c>
      <c r="BN9" s="217">
        <f>IF((AA6+AB6+AC6+AD6+AE6+AF6+AG6+AH6+AI6+AJ6+AK6+AL6)=0,0,(AA8+AB8+AC8+AD8+AE8+AF8+AG8+AH8+AI8+AJ8+AK8+AL8)/(AA6+AB6+AC6+AD6+AE6+AF6+AG6+AH6+AI6+AJ6+AK6+AL6))</f>
        <v/>
      </c>
      <c r="BO9" s="217">
        <f>IF((AM6+AN6+AO6+AP6+AQ6+AR6+AS6+AT6+AU6+AV6+AW6+AX6)=0,0,(AM8+AN8+AO8+AP8+AQ8+AR8+AS8+AT8+AU8+AV8+AW8+AX8)/(AM6+AN6+AO6+AP6+AQ6+AR6+AS6+AT6+AU6+AV6+AW6+AX6))</f>
        <v/>
      </c>
      <c r="BP9" s="217">
        <f>IF((AY6+AZ6+BA6+BB6+BC6+BD6+BE6+BF6+BG6+BH6+BI6+BJ6)=0,0,(AY8+AZ8+BA8+BB8+BC8+BD8+BE8+BF8+BG8+BH8+BI8+BJ8)/(AY6+AZ6+BA6+BB6+BC6+BD6+BE6+BF6+BG6+BH6+BI6+BJ6))</f>
        <v/>
      </c>
    </row>
    <row r="10" ht="15" customHeight="1" s="104">
      <c r="A10" s="107" t="inlineStr">
        <is>
          <t>Staff Compensation</t>
        </is>
      </c>
      <c r="C10" s="156">
        <f>C6*(Assumptions!B26+Assumptions!B27*0)</f>
        <v/>
      </c>
      <c r="D10" s="156">
        <f>D6*(Assumptions!B26+Assumptions!B27*0)</f>
        <v/>
      </c>
      <c r="E10" s="156">
        <f>E6*(Assumptions!B26+Assumptions!B27*0)</f>
        <v/>
      </c>
      <c r="F10" s="156">
        <f>F6*(Assumptions!B26+Assumptions!B27*0)</f>
        <v/>
      </c>
      <c r="G10" s="156">
        <f>G6*(Assumptions!B26+Assumptions!B27*0)</f>
        <v/>
      </c>
      <c r="H10" s="156">
        <f>H6*(Assumptions!B26+Assumptions!B27*0)</f>
        <v/>
      </c>
      <c r="I10" s="156">
        <f>I6*(Assumptions!B26+Assumptions!B27*0)</f>
        <v/>
      </c>
      <c r="J10" s="156">
        <f>J6*(Assumptions!B26+Assumptions!B27*0)</f>
        <v/>
      </c>
      <c r="K10" s="156">
        <f>K6*(Assumptions!B26+Assumptions!B27*0)</f>
        <v/>
      </c>
      <c r="L10" s="156">
        <f>L6*(Assumptions!B26+Assumptions!B27*0)</f>
        <v/>
      </c>
      <c r="M10" s="156">
        <f>M6*(Assumptions!B26+Assumptions!B27*0)</f>
        <v/>
      </c>
      <c r="N10" s="156">
        <f>N6*(Assumptions!B26+Assumptions!B27*0)</f>
        <v/>
      </c>
      <c r="O10" s="156">
        <f>O6*(Assumptions!B26+Assumptions!B27*1)</f>
        <v/>
      </c>
      <c r="P10" s="156">
        <f>P6*(Assumptions!B26+Assumptions!B27*1)</f>
        <v/>
      </c>
      <c r="Q10" s="156">
        <f>Q6*(Assumptions!B26+Assumptions!B27*1)</f>
        <v/>
      </c>
      <c r="R10" s="156">
        <f>R6*(Assumptions!B26+Assumptions!B27*1)</f>
        <v/>
      </c>
      <c r="S10" s="156">
        <f>S6*(Assumptions!B26+Assumptions!B27*1)</f>
        <v/>
      </c>
      <c r="T10" s="156">
        <f>T6*(Assumptions!B26+Assumptions!B27*1)</f>
        <v/>
      </c>
      <c r="U10" s="156">
        <f>U6*(Assumptions!B26+Assumptions!B27*1)</f>
        <v/>
      </c>
      <c r="V10" s="156">
        <f>V6*(Assumptions!B26+Assumptions!B27*1)</f>
        <v/>
      </c>
      <c r="W10" s="156">
        <f>W6*(Assumptions!B26+Assumptions!B27*1)</f>
        <v/>
      </c>
      <c r="X10" s="156">
        <f>X6*(Assumptions!B26+Assumptions!B27*1)</f>
        <v/>
      </c>
      <c r="Y10" s="156">
        <f>Y6*(Assumptions!B26+Assumptions!B27*1)</f>
        <v/>
      </c>
      <c r="Z10" s="156">
        <f>Z6*(Assumptions!B26+Assumptions!B27*1)</f>
        <v/>
      </c>
      <c r="AA10" s="156">
        <f>AA6*(Assumptions!B26+Assumptions!B27*2)</f>
        <v/>
      </c>
      <c r="AB10" s="156">
        <f>AB6*(Assumptions!B26+Assumptions!B27*2)</f>
        <v/>
      </c>
      <c r="AC10" s="156">
        <f>AC6*(Assumptions!B26+Assumptions!B27*2)</f>
        <v/>
      </c>
      <c r="AD10" s="156">
        <f>AD6*(Assumptions!B26+Assumptions!B27*2)</f>
        <v/>
      </c>
      <c r="AE10" s="156">
        <f>AE6*(Assumptions!B26+Assumptions!B27*2)</f>
        <v/>
      </c>
      <c r="AF10" s="156">
        <f>AF6*(Assumptions!B26+Assumptions!B27*2)</f>
        <v/>
      </c>
      <c r="AG10" s="156">
        <f>AG6*(Assumptions!B26+Assumptions!B27*2)</f>
        <v/>
      </c>
      <c r="AH10" s="156">
        <f>AH6*(Assumptions!B26+Assumptions!B27*2)</f>
        <v/>
      </c>
      <c r="AI10" s="156">
        <f>AI6*(Assumptions!B26+Assumptions!B27*2)</f>
        <v/>
      </c>
      <c r="AJ10" s="156">
        <f>AJ6*(Assumptions!B26+Assumptions!B27*2)</f>
        <v/>
      </c>
      <c r="AK10" s="156">
        <f>AK6*(Assumptions!B26+Assumptions!B27*2)</f>
        <v/>
      </c>
      <c r="AL10" s="156">
        <f>AL6*(Assumptions!B26+Assumptions!B27*2)</f>
        <v/>
      </c>
      <c r="AM10" s="156">
        <f>AM6*(Assumptions!B26+Assumptions!B27*3)</f>
        <v/>
      </c>
      <c r="AN10" s="156">
        <f>AN6*(Assumptions!B26+Assumptions!B27*3)</f>
        <v/>
      </c>
      <c r="AO10" s="156">
        <f>AO6*(Assumptions!B26+Assumptions!B27*3)</f>
        <v/>
      </c>
      <c r="AP10" s="156">
        <f>AP6*(Assumptions!B26+Assumptions!B27*3)</f>
        <v/>
      </c>
      <c r="AQ10" s="156">
        <f>AQ6*(Assumptions!B26+Assumptions!B27*3)</f>
        <v/>
      </c>
      <c r="AR10" s="156">
        <f>AR6*(Assumptions!B26+Assumptions!B27*3)</f>
        <v/>
      </c>
      <c r="AS10" s="156">
        <f>AS6*(Assumptions!B26+Assumptions!B27*3)</f>
        <v/>
      </c>
      <c r="AT10" s="156">
        <f>AT6*(Assumptions!B26+Assumptions!B27*3)</f>
        <v/>
      </c>
      <c r="AU10" s="156">
        <f>AU6*(Assumptions!B26+Assumptions!B27*3)</f>
        <v/>
      </c>
      <c r="AV10" s="156">
        <f>AV6*(Assumptions!B26+Assumptions!B27*3)</f>
        <v/>
      </c>
      <c r="AW10" s="156">
        <f>AW6*(Assumptions!B26+Assumptions!B27*3)</f>
        <v/>
      </c>
      <c r="AX10" s="156">
        <f>AX6*(Assumptions!B26+Assumptions!B27*3)</f>
        <v/>
      </c>
      <c r="AY10" s="156">
        <f>AY6*(Assumptions!B26+Assumptions!B27*4)</f>
        <v/>
      </c>
      <c r="AZ10" s="156">
        <f>AZ6*(Assumptions!B26+Assumptions!B27*4)</f>
        <v/>
      </c>
      <c r="BA10" s="156">
        <f>BA6*(Assumptions!B26+Assumptions!B27*4)</f>
        <v/>
      </c>
      <c r="BB10" s="156">
        <f>BB6*(Assumptions!B26+Assumptions!B27*4)</f>
        <v/>
      </c>
      <c r="BC10" s="156">
        <f>BC6*(Assumptions!B26+Assumptions!B27*4)</f>
        <v/>
      </c>
      <c r="BD10" s="156">
        <f>BD6*(Assumptions!B26+Assumptions!B27*4)</f>
        <v/>
      </c>
      <c r="BE10" s="156">
        <f>BE6*(Assumptions!B26+Assumptions!B27*4)</f>
        <v/>
      </c>
      <c r="BF10" s="156">
        <f>BF6*(Assumptions!B26+Assumptions!B27*4)</f>
        <v/>
      </c>
      <c r="BG10" s="156">
        <f>BG6*(Assumptions!B26+Assumptions!B27*4)</f>
        <v/>
      </c>
      <c r="BH10" s="156">
        <f>BH6*(Assumptions!B26+Assumptions!B27*4)</f>
        <v/>
      </c>
      <c r="BI10" s="156">
        <f>BI6*(Assumptions!B26+Assumptions!B27*4)</f>
        <v/>
      </c>
      <c r="BJ10" s="156">
        <f>BJ6*(Assumptions!B26+Assumptions!B27*4)</f>
        <v/>
      </c>
      <c r="BL10" s="157">
        <f>C10+D10+E10+F10+G10+H10+I10+J10+K10+L10+M10+N10</f>
        <v/>
      </c>
      <c r="BM10" s="157">
        <f>O10+P10+Q10+R10+S10+T10+U10+V10+W10+X10+Y10+Z10</f>
        <v/>
      </c>
      <c r="BN10" s="157">
        <f>AA10+AB10+AC10+AD10+AE10+AF10+AG10+AH10+AI10+AJ10+AK10+AL10</f>
        <v/>
      </c>
      <c r="BO10" s="157">
        <f>AM10+AN10+AO10+AP10+AQ10+AR10+AS10+AT10+AU10+AV10+AW10+AX10</f>
        <v/>
      </c>
      <c r="BP10" s="157">
        <f>AY10+AZ10+BA10+BB10+BC10+BD10+BE10+BF10+BG10+BH10+BI10+BJ10</f>
        <v/>
      </c>
    </row>
    <row r="11" ht="15" customHeight="1" s="104">
      <c r="A11" s="215" t="inlineStr">
        <is>
          <t xml:space="preserve">    % of Revenue</t>
        </is>
      </c>
      <c r="C11" s="216">
        <f>IF(C6=0,0,C10/C6)</f>
        <v/>
      </c>
      <c r="D11" s="216">
        <f>IF(D6=0,0,D10/D6)</f>
        <v/>
      </c>
      <c r="E11" s="216">
        <f>IF(E6=0,0,E10/E6)</f>
        <v/>
      </c>
      <c r="F11" s="216">
        <f>IF(F6=0,0,F10/F6)</f>
        <v/>
      </c>
      <c r="G11" s="216">
        <f>IF(G6=0,0,G10/G6)</f>
        <v/>
      </c>
      <c r="H11" s="216">
        <f>IF(H6=0,0,H10/H6)</f>
        <v/>
      </c>
      <c r="I11" s="216">
        <f>IF(I6=0,0,I10/I6)</f>
        <v/>
      </c>
      <c r="J11" s="216">
        <f>IF(J6=0,0,J10/J6)</f>
        <v/>
      </c>
      <c r="K11" s="216">
        <f>IF(K6=0,0,K10/K6)</f>
        <v/>
      </c>
      <c r="L11" s="216">
        <f>IF(L6=0,0,L10/L6)</f>
        <v/>
      </c>
      <c r="M11" s="216">
        <f>IF(M6=0,0,M10/M6)</f>
        <v/>
      </c>
      <c r="N11" s="216">
        <f>IF(N6=0,0,N10/N6)</f>
        <v/>
      </c>
      <c r="O11" s="216">
        <f>IF(O6=0,0,O10/O6)</f>
        <v/>
      </c>
      <c r="P11" s="216">
        <f>IF(P6=0,0,P10/P6)</f>
        <v/>
      </c>
      <c r="Q11" s="216">
        <f>IF(Q6=0,0,Q10/Q6)</f>
        <v/>
      </c>
      <c r="R11" s="216">
        <f>IF(R6=0,0,R10/R6)</f>
        <v/>
      </c>
      <c r="S11" s="216">
        <f>IF(S6=0,0,S10/S6)</f>
        <v/>
      </c>
      <c r="T11" s="216">
        <f>IF(T6=0,0,T10/T6)</f>
        <v/>
      </c>
      <c r="U11" s="216">
        <f>IF(U6=0,0,U10/U6)</f>
        <v/>
      </c>
      <c r="V11" s="216">
        <f>IF(V6=0,0,V10/V6)</f>
        <v/>
      </c>
      <c r="W11" s="216">
        <f>IF(W6=0,0,W10/W6)</f>
        <v/>
      </c>
      <c r="X11" s="216">
        <f>IF(X6=0,0,X10/X6)</f>
        <v/>
      </c>
      <c r="Y11" s="216">
        <f>IF(Y6=0,0,Y10/Y6)</f>
        <v/>
      </c>
      <c r="Z11" s="216">
        <f>IF(Z6=0,0,Z10/Z6)</f>
        <v/>
      </c>
      <c r="AA11" s="216">
        <f>IF(AA6=0,0,AA10/AA6)</f>
        <v/>
      </c>
      <c r="AB11" s="216">
        <f>IF(AB6=0,0,AB10/AB6)</f>
        <v/>
      </c>
      <c r="AC11" s="216">
        <f>IF(AC6=0,0,AC10/AC6)</f>
        <v/>
      </c>
      <c r="AD11" s="216">
        <f>IF(AD6=0,0,AD10/AD6)</f>
        <v/>
      </c>
      <c r="AE11" s="216">
        <f>IF(AE6=0,0,AE10/AE6)</f>
        <v/>
      </c>
      <c r="AF11" s="216">
        <f>IF(AF6=0,0,AF10/AF6)</f>
        <v/>
      </c>
      <c r="AG11" s="216">
        <f>IF(AG6=0,0,AG10/AG6)</f>
        <v/>
      </c>
      <c r="AH11" s="216">
        <f>IF(AH6=0,0,AH10/AH6)</f>
        <v/>
      </c>
      <c r="AI11" s="216">
        <f>IF(AI6=0,0,AI10/AI6)</f>
        <v/>
      </c>
      <c r="AJ11" s="216">
        <f>IF(AJ6=0,0,AJ10/AJ6)</f>
        <v/>
      </c>
      <c r="AK11" s="216">
        <f>IF(AK6=0,0,AK10/AK6)</f>
        <v/>
      </c>
      <c r="AL11" s="216">
        <f>IF(AL6=0,0,AL10/AL6)</f>
        <v/>
      </c>
      <c r="AM11" s="216">
        <f>IF(AM6=0,0,AM10/AM6)</f>
        <v/>
      </c>
      <c r="AN11" s="216">
        <f>IF(AN6=0,0,AN10/AN6)</f>
        <v/>
      </c>
      <c r="AO11" s="216">
        <f>IF(AO6=0,0,AO10/AO6)</f>
        <v/>
      </c>
      <c r="AP11" s="216">
        <f>IF(AP6=0,0,AP10/AP6)</f>
        <v/>
      </c>
      <c r="AQ11" s="216">
        <f>IF(AQ6=0,0,AQ10/AQ6)</f>
        <v/>
      </c>
      <c r="AR11" s="216">
        <f>IF(AR6=0,0,AR10/AR6)</f>
        <v/>
      </c>
      <c r="AS11" s="216">
        <f>IF(AS6=0,0,AS10/AS6)</f>
        <v/>
      </c>
      <c r="AT11" s="216">
        <f>IF(AT6=0,0,AT10/AT6)</f>
        <v/>
      </c>
      <c r="AU11" s="216">
        <f>IF(AU6=0,0,AU10/AU6)</f>
        <v/>
      </c>
      <c r="AV11" s="216">
        <f>IF(AV6=0,0,AV10/AV6)</f>
        <v/>
      </c>
      <c r="AW11" s="216">
        <f>IF(AW6=0,0,AW10/AW6)</f>
        <v/>
      </c>
      <c r="AX11" s="216">
        <f>IF(AX6=0,0,AX10/AX6)</f>
        <v/>
      </c>
      <c r="AY11" s="216">
        <f>IF(AY6=0,0,AY10/AY6)</f>
        <v/>
      </c>
      <c r="AZ11" s="216">
        <f>IF(AZ6=0,0,AZ10/AZ6)</f>
        <v/>
      </c>
      <c r="BA11" s="216">
        <f>IF(BA6=0,0,BA10/BA6)</f>
        <v/>
      </c>
      <c r="BB11" s="216">
        <f>IF(BB6=0,0,BB10/BB6)</f>
        <v/>
      </c>
      <c r="BC11" s="216">
        <f>IF(BC6=0,0,BC10/BC6)</f>
        <v/>
      </c>
      <c r="BD11" s="216">
        <f>IF(BD6=0,0,BD10/BD6)</f>
        <v/>
      </c>
      <c r="BE11" s="216">
        <f>IF(BE6=0,0,BE10/BE6)</f>
        <v/>
      </c>
      <c r="BF11" s="216">
        <f>IF(BF6=0,0,BF10/BF6)</f>
        <v/>
      </c>
      <c r="BG11" s="216">
        <f>IF(BG6=0,0,BG10/BG6)</f>
        <v/>
      </c>
      <c r="BH11" s="216">
        <f>IF(BH6=0,0,BH10/BH6)</f>
        <v/>
      </c>
      <c r="BI11" s="216">
        <f>IF(BI6=0,0,BI10/BI6)</f>
        <v/>
      </c>
      <c r="BJ11" s="216">
        <f>IF(BJ6=0,0,BJ10/BJ6)</f>
        <v/>
      </c>
      <c r="BL11" s="217">
        <f>IF((C6+D6+E6+F6+G6+H6+I6+J6+K6+L6+M6+N6)=0,0,(C10+D10+E10+F10+G10+H10+I10+J10+K10+L10+M10+N10)/(C6+D6+E6+F6+G6+H6+I6+J6+K6+L6+M6+N6))</f>
        <v/>
      </c>
      <c r="BM11" s="217">
        <f>IF((O6+P6+Q6+R6+S6+T6+U6+V6+W6+X6+Y6+Z6)=0,0,(O10+P10+Q10+R10+S10+T10+U10+V10+W10+X10+Y10+Z10)/(O6+P6+Q6+R6+S6+T6+U6+V6+W6+X6+Y6+Z6))</f>
        <v/>
      </c>
      <c r="BN11" s="217">
        <f>IF((AA6+AB6+AC6+AD6+AE6+AF6+AG6+AH6+AI6+AJ6+AK6+AL6)=0,0,(AA10+AB10+AC10+AD10+AE10+AF10+AG10+AH10+AI10+AJ10+AK10+AL10)/(AA6+AB6+AC6+AD6+AE6+AF6+AG6+AH6+AI6+AJ6+AK6+AL6))</f>
        <v/>
      </c>
      <c r="BO11" s="217">
        <f>IF((AM6+AN6+AO6+AP6+AQ6+AR6+AS6+AT6+AU6+AV6+AW6+AX6)=0,0,(AM10+AN10+AO10+AP10+AQ10+AR10+AS10+AT10+AU10+AV10+AW10+AX10)/(AM6+AN6+AO6+AP6+AQ6+AR6+AS6+AT6+AU6+AV6+AW6+AX6))</f>
        <v/>
      </c>
      <c r="BP11" s="217">
        <f>IF((AY6+AZ6+BA6+BB6+BC6+BD6+BE6+BF6+BG6+BH6+BI6+BJ6)=0,0,(AY10+AZ10+BA10+BB10+BC10+BD10+BE10+BF10+BG10+BH10+BI10+BJ10)/(AY6+AZ6+BA6+BB6+BC6+BD6+BE6+BF6+BG6+BH6+BI6+BJ6))</f>
        <v/>
      </c>
    </row>
    <row r="12" ht="15" customHeight="1" s="104">
      <c r="A12" s="107" t="inlineStr">
        <is>
          <t>Occupancy &amp; Facilities</t>
        </is>
      </c>
      <c r="C12" s="156">
        <f>C6*(Assumptions!B28+Assumptions!B29*0)</f>
        <v/>
      </c>
      <c r="D12" s="156">
        <f>D6*(Assumptions!B28+Assumptions!B29*0)</f>
        <v/>
      </c>
      <c r="E12" s="156">
        <f>E6*(Assumptions!B28+Assumptions!B29*0)</f>
        <v/>
      </c>
      <c r="F12" s="156">
        <f>F6*(Assumptions!B28+Assumptions!B29*0)</f>
        <v/>
      </c>
      <c r="G12" s="156">
        <f>G6*(Assumptions!B28+Assumptions!B29*0)</f>
        <v/>
      </c>
      <c r="H12" s="156">
        <f>H6*(Assumptions!B28+Assumptions!B29*0)</f>
        <v/>
      </c>
      <c r="I12" s="156">
        <f>I6*(Assumptions!B28+Assumptions!B29*0)</f>
        <v/>
      </c>
      <c r="J12" s="156">
        <f>J6*(Assumptions!B28+Assumptions!B29*0)</f>
        <v/>
      </c>
      <c r="K12" s="156">
        <f>K6*(Assumptions!B28+Assumptions!B29*0)</f>
        <v/>
      </c>
      <c r="L12" s="156">
        <f>L6*(Assumptions!B28+Assumptions!B29*0)</f>
        <v/>
      </c>
      <c r="M12" s="156">
        <f>M6*(Assumptions!B28+Assumptions!B29*0)</f>
        <v/>
      </c>
      <c r="N12" s="156">
        <f>N6*(Assumptions!B28+Assumptions!B29*0)</f>
        <v/>
      </c>
      <c r="O12" s="156">
        <f>O6*(Assumptions!B28+Assumptions!B29*1)</f>
        <v/>
      </c>
      <c r="P12" s="156">
        <f>P6*(Assumptions!B28+Assumptions!B29*1)</f>
        <v/>
      </c>
      <c r="Q12" s="156">
        <f>Q6*(Assumptions!B28+Assumptions!B29*1)</f>
        <v/>
      </c>
      <c r="R12" s="156">
        <f>R6*(Assumptions!B28+Assumptions!B29*1)</f>
        <v/>
      </c>
      <c r="S12" s="156">
        <f>S6*(Assumptions!B28+Assumptions!B29*1)</f>
        <v/>
      </c>
      <c r="T12" s="156">
        <f>T6*(Assumptions!B28+Assumptions!B29*1)</f>
        <v/>
      </c>
      <c r="U12" s="156">
        <f>U6*(Assumptions!B28+Assumptions!B29*1)</f>
        <v/>
      </c>
      <c r="V12" s="156">
        <f>V6*(Assumptions!B28+Assumptions!B29*1)</f>
        <v/>
      </c>
      <c r="W12" s="156">
        <f>W6*(Assumptions!B28+Assumptions!B29*1)</f>
        <v/>
      </c>
      <c r="X12" s="156">
        <f>X6*(Assumptions!B28+Assumptions!B29*1)</f>
        <v/>
      </c>
      <c r="Y12" s="156">
        <f>Y6*(Assumptions!B28+Assumptions!B29*1)</f>
        <v/>
      </c>
      <c r="Z12" s="156">
        <f>Z6*(Assumptions!B28+Assumptions!B29*1)</f>
        <v/>
      </c>
      <c r="AA12" s="156">
        <f>AA6*(Assumptions!B28+Assumptions!B29*2)</f>
        <v/>
      </c>
      <c r="AB12" s="156">
        <f>AB6*(Assumptions!B28+Assumptions!B29*2)</f>
        <v/>
      </c>
      <c r="AC12" s="156">
        <f>AC6*(Assumptions!B28+Assumptions!B29*2)</f>
        <v/>
      </c>
      <c r="AD12" s="156">
        <f>AD6*(Assumptions!B28+Assumptions!B29*2)</f>
        <v/>
      </c>
      <c r="AE12" s="156">
        <f>AE6*(Assumptions!B28+Assumptions!B29*2)</f>
        <v/>
      </c>
      <c r="AF12" s="156">
        <f>AF6*(Assumptions!B28+Assumptions!B29*2)</f>
        <v/>
      </c>
      <c r="AG12" s="156">
        <f>AG6*(Assumptions!B28+Assumptions!B29*2)</f>
        <v/>
      </c>
      <c r="AH12" s="156">
        <f>AH6*(Assumptions!B28+Assumptions!B29*2)</f>
        <v/>
      </c>
      <c r="AI12" s="156">
        <f>AI6*(Assumptions!B28+Assumptions!B29*2)</f>
        <v/>
      </c>
      <c r="AJ12" s="156">
        <f>AJ6*(Assumptions!B28+Assumptions!B29*2)</f>
        <v/>
      </c>
      <c r="AK12" s="156">
        <f>AK6*(Assumptions!B28+Assumptions!B29*2)</f>
        <v/>
      </c>
      <c r="AL12" s="156">
        <f>AL6*(Assumptions!B28+Assumptions!B29*2)</f>
        <v/>
      </c>
      <c r="AM12" s="156">
        <f>AM6*(Assumptions!B28+Assumptions!B29*3)</f>
        <v/>
      </c>
      <c r="AN12" s="156">
        <f>AN6*(Assumptions!B28+Assumptions!B29*3)</f>
        <v/>
      </c>
      <c r="AO12" s="156">
        <f>AO6*(Assumptions!B28+Assumptions!B29*3)</f>
        <v/>
      </c>
      <c r="AP12" s="156">
        <f>AP6*(Assumptions!B28+Assumptions!B29*3)</f>
        <v/>
      </c>
      <c r="AQ12" s="156">
        <f>AQ6*(Assumptions!B28+Assumptions!B29*3)</f>
        <v/>
      </c>
      <c r="AR12" s="156">
        <f>AR6*(Assumptions!B28+Assumptions!B29*3)</f>
        <v/>
      </c>
      <c r="AS12" s="156">
        <f>AS6*(Assumptions!B28+Assumptions!B29*3)</f>
        <v/>
      </c>
      <c r="AT12" s="156">
        <f>AT6*(Assumptions!B28+Assumptions!B29*3)</f>
        <v/>
      </c>
      <c r="AU12" s="156">
        <f>AU6*(Assumptions!B28+Assumptions!B29*3)</f>
        <v/>
      </c>
      <c r="AV12" s="156">
        <f>AV6*(Assumptions!B28+Assumptions!B29*3)</f>
        <v/>
      </c>
      <c r="AW12" s="156">
        <f>AW6*(Assumptions!B28+Assumptions!B29*3)</f>
        <v/>
      </c>
      <c r="AX12" s="156">
        <f>AX6*(Assumptions!B28+Assumptions!B29*3)</f>
        <v/>
      </c>
      <c r="AY12" s="156">
        <f>AY6*(Assumptions!B28+Assumptions!B29*4)</f>
        <v/>
      </c>
      <c r="AZ12" s="156">
        <f>AZ6*(Assumptions!B28+Assumptions!B29*4)</f>
        <v/>
      </c>
      <c r="BA12" s="156">
        <f>BA6*(Assumptions!B28+Assumptions!B29*4)</f>
        <v/>
      </c>
      <c r="BB12" s="156">
        <f>BB6*(Assumptions!B28+Assumptions!B29*4)</f>
        <v/>
      </c>
      <c r="BC12" s="156">
        <f>BC6*(Assumptions!B28+Assumptions!B29*4)</f>
        <v/>
      </c>
      <c r="BD12" s="156">
        <f>BD6*(Assumptions!B28+Assumptions!B29*4)</f>
        <v/>
      </c>
      <c r="BE12" s="156">
        <f>BE6*(Assumptions!B28+Assumptions!B29*4)</f>
        <v/>
      </c>
      <c r="BF12" s="156">
        <f>BF6*(Assumptions!B28+Assumptions!B29*4)</f>
        <v/>
      </c>
      <c r="BG12" s="156">
        <f>BG6*(Assumptions!B28+Assumptions!B29*4)</f>
        <v/>
      </c>
      <c r="BH12" s="156">
        <f>BH6*(Assumptions!B28+Assumptions!B29*4)</f>
        <v/>
      </c>
      <c r="BI12" s="156">
        <f>BI6*(Assumptions!B28+Assumptions!B29*4)</f>
        <v/>
      </c>
      <c r="BJ12" s="156">
        <f>BJ6*(Assumptions!B28+Assumptions!B29*4)</f>
        <v/>
      </c>
      <c r="BL12" s="157">
        <f>C12+D12+E12+F12+G12+H12+I12+J12+K12+L12+M12+N12</f>
        <v/>
      </c>
      <c r="BM12" s="157">
        <f>O12+P12+Q12+R12+S12+T12+U12+V12+W12+X12+Y12+Z12</f>
        <v/>
      </c>
      <c r="BN12" s="157">
        <f>AA12+AB12+AC12+AD12+AE12+AF12+AG12+AH12+AI12+AJ12+AK12+AL12</f>
        <v/>
      </c>
      <c r="BO12" s="157">
        <f>AM12+AN12+AO12+AP12+AQ12+AR12+AS12+AT12+AU12+AV12+AW12+AX12</f>
        <v/>
      </c>
      <c r="BP12" s="157">
        <f>AY12+AZ12+BA12+BB12+BC12+BD12+BE12+BF12+BG12+BH12+BI12+BJ12</f>
        <v/>
      </c>
    </row>
    <row r="13" ht="15" customHeight="1" s="104">
      <c r="A13" s="215" t="inlineStr">
        <is>
          <t xml:space="preserve">    % of Revenue</t>
        </is>
      </c>
      <c r="C13" s="216">
        <f>IF(C6=0,0,C12/C6)</f>
        <v/>
      </c>
      <c r="D13" s="216">
        <f>IF(D6=0,0,D12/D6)</f>
        <v/>
      </c>
      <c r="E13" s="216">
        <f>IF(E6=0,0,E12/E6)</f>
        <v/>
      </c>
      <c r="F13" s="216">
        <f>IF(F6=0,0,F12/F6)</f>
        <v/>
      </c>
      <c r="G13" s="216">
        <f>IF(G6=0,0,G12/G6)</f>
        <v/>
      </c>
      <c r="H13" s="216">
        <f>IF(H6=0,0,H12/H6)</f>
        <v/>
      </c>
      <c r="I13" s="216">
        <f>IF(I6=0,0,I12/I6)</f>
        <v/>
      </c>
      <c r="J13" s="216">
        <f>IF(J6=0,0,J12/J6)</f>
        <v/>
      </c>
      <c r="K13" s="216">
        <f>IF(K6=0,0,K12/K6)</f>
        <v/>
      </c>
      <c r="L13" s="216">
        <f>IF(L6=0,0,L12/L6)</f>
        <v/>
      </c>
      <c r="M13" s="216">
        <f>IF(M6=0,0,M12/M6)</f>
        <v/>
      </c>
      <c r="N13" s="216">
        <f>IF(N6=0,0,N12/N6)</f>
        <v/>
      </c>
      <c r="O13" s="216">
        <f>IF(O6=0,0,O12/O6)</f>
        <v/>
      </c>
      <c r="P13" s="216">
        <f>IF(P6=0,0,P12/P6)</f>
        <v/>
      </c>
      <c r="Q13" s="216">
        <f>IF(Q6=0,0,Q12/Q6)</f>
        <v/>
      </c>
      <c r="R13" s="216">
        <f>IF(R6=0,0,R12/R6)</f>
        <v/>
      </c>
      <c r="S13" s="216">
        <f>IF(S6=0,0,S12/S6)</f>
        <v/>
      </c>
      <c r="T13" s="216">
        <f>IF(T6=0,0,T12/T6)</f>
        <v/>
      </c>
      <c r="U13" s="216">
        <f>IF(U6=0,0,U12/U6)</f>
        <v/>
      </c>
      <c r="V13" s="216">
        <f>IF(V6=0,0,V12/V6)</f>
        <v/>
      </c>
      <c r="W13" s="216">
        <f>IF(W6=0,0,W12/W6)</f>
        <v/>
      </c>
      <c r="X13" s="216">
        <f>IF(X6=0,0,X12/X6)</f>
        <v/>
      </c>
      <c r="Y13" s="216">
        <f>IF(Y6=0,0,Y12/Y6)</f>
        <v/>
      </c>
      <c r="Z13" s="216">
        <f>IF(Z6=0,0,Z12/Z6)</f>
        <v/>
      </c>
      <c r="AA13" s="216">
        <f>IF(AA6=0,0,AA12/AA6)</f>
        <v/>
      </c>
      <c r="AB13" s="216">
        <f>IF(AB6=0,0,AB12/AB6)</f>
        <v/>
      </c>
      <c r="AC13" s="216">
        <f>IF(AC6=0,0,AC12/AC6)</f>
        <v/>
      </c>
      <c r="AD13" s="216">
        <f>IF(AD6=0,0,AD12/AD6)</f>
        <v/>
      </c>
      <c r="AE13" s="216">
        <f>IF(AE6=0,0,AE12/AE6)</f>
        <v/>
      </c>
      <c r="AF13" s="216">
        <f>IF(AF6=0,0,AF12/AF6)</f>
        <v/>
      </c>
      <c r="AG13" s="216">
        <f>IF(AG6=0,0,AG12/AG6)</f>
        <v/>
      </c>
      <c r="AH13" s="216">
        <f>IF(AH6=0,0,AH12/AH6)</f>
        <v/>
      </c>
      <c r="AI13" s="216">
        <f>IF(AI6=0,0,AI12/AI6)</f>
        <v/>
      </c>
      <c r="AJ13" s="216">
        <f>IF(AJ6=0,0,AJ12/AJ6)</f>
        <v/>
      </c>
      <c r="AK13" s="216">
        <f>IF(AK6=0,0,AK12/AK6)</f>
        <v/>
      </c>
      <c r="AL13" s="216">
        <f>IF(AL6=0,0,AL12/AL6)</f>
        <v/>
      </c>
      <c r="AM13" s="216">
        <f>IF(AM6=0,0,AM12/AM6)</f>
        <v/>
      </c>
      <c r="AN13" s="216">
        <f>IF(AN6=0,0,AN12/AN6)</f>
        <v/>
      </c>
      <c r="AO13" s="216">
        <f>IF(AO6=0,0,AO12/AO6)</f>
        <v/>
      </c>
      <c r="AP13" s="216">
        <f>IF(AP6=0,0,AP12/AP6)</f>
        <v/>
      </c>
      <c r="AQ13" s="216">
        <f>IF(AQ6=0,0,AQ12/AQ6)</f>
        <v/>
      </c>
      <c r="AR13" s="216">
        <f>IF(AR6=0,0,AR12/AR6)</f>
        <v/>
      </c>
      <c r="AS13" s="216">
        <f>IF(AS6=0,0,AS12/AS6)</f>
        <v/>
      </c>
      <c r="AT13" s="216">
        <f>IF(AT6=0,0,AT12/AT6)</f>
        <v/>
      </c>
      <c r="AU13" s="216">
        <f>IF(AU6=0,0,AU12/AU6)</f>
        <v/>
      </c>
      <c r="AV13" s="216">
        <f>IF(AV6=0,0,AV12/AV6)</f>
        <v/>
      </c>
      <c r="AW13" s="216">
        <f>IF(AW6=0,0,AW12/AW6)</f>
        <v/>
      </c>
      <c r="AX13" s="216">
        <f>IF(AX6=0,0,AX12/AX6)</f>
        <v/>
      </c>
      <c r="AY13" s="216">
        <f>IF(AY6=0,0,AY12/AY6)</f>
        <v/>
      </c>
      <c r="AZ13" s="216">
        <f>IF(AZ6=0,0,AZ12/AZ6)</f>
        <v/>
      </c>
      <c r="BA13" s="216">
        <f>IF(BA6=0,0,BA12/BA6)</f>
        <v/>
      </c>
      <c r="BB13" s="216">
        <f>IF(BB6=0,0,BB12/BB6)</f>
        <v/>
      </c>
      <c r="BC13" s="216">
        <f>IF(BC6=0,0,BC12/BC6)</f>
        <v/>
      </c>
      <c r="BD13" s="216">
        <f>IF(BD6=0,0,BD12/BD6)</f>
        <v/>
      </c>
      <c r="BE13" s="216">
        <f>IF(BE6=0,0,BE12/BE6)</f>
        <v/>
      </c>
      <c r="BF13" s="216">
        <f>IF(BF6=0,0,BF12/BF6)</f>
        <v/>
      </c>
      <c r="BG13" s="216">
        <f>IF(BG6=0,0,BG12/BG6)</f>
        <v/>
      </c>
      <c r="BH13" s="216">
        <f>IF(BH6=0,0,BH12/BH6)</f>
        <v/>
      </c>
      <c r="BI13" s="216">
        <f>IF(BI6=0,0,BI12/BI6)</f>
        <v/>
      </c>
      <c r="BJ13" s="216">
        <f>IF(BJ6=0,0,BJ12/BJ6)</f>
        <v/>
      </c>
      <c r="BL13" s="217">
        <f>IF((C6+D6+E6+F6+G6+H6+I6+J6+K6+L6+M6+N6)=0,0,(C12+D12+E12+F12+G12+H12+I12+J12+K12+L12+M12+N12)/(C6+D6+E6+F6+G6+H6+I6+J6+K6+L6+M6+N6))</f>
        <v/>
      </c>
      <c r="BM13" s="217">
        <f>IF((O6+P6+Q6+R6+S6+T6+U6+V6+W6+X6+Y6+Z6)=0,0,(O12+P12+Q12+R12+S12+T12+U12+V12+W12+X12+Y12+Z12)/(O6+P6+Q6+R6+S6+T6+U6+V6+W6+X6+Y6+Z6))</f>
        <v/>
      </c>
      <c r="BN13" s="217">
        <f>IF((AA6+AB6+AC6+AD6+AE6+AF6+AG6+AH6+AI6+AJ6+AK6+AL6)=0,0,(AA12+AB12+AC12+AD12+AE12+AF12+AG12+AH12+AI12+AJ12+AK12+AL12)/(AA6+AB6+AC6+AD6+AE6+AF6+AG6+AH6+AI6+AJ6+AK6+AL6))</f>
        <v/>
      </c>
      <c r="BO13" s="217">
        <f>IF((AM6+AN6+AO6+AP6+AQ6+AR6+AS6+AT6+AU6+AV6+AW6+AX6)=0,0,(AM12+AN12+AO12+AP12+AQ12+AR12+AS12+AT12+AU12+AV12+AW12+AX12)/(AM6+AN6+AO6+AP6+AQ6+AR6+AS6+AT6+AU6+AV6+AW6+AX6))</f>
        <v/>
      </c>
      <c r="BP13" s="217">
        <f>IF((AY6+AZ6+BA6+BB6+BC6+BD6+BE6+BF6+BG6+BH6+BI6+BJ6)=0,0,(AY12+AZ12+BA12+BB12+BC12+BD12+BE12+BF12+BG12+BH12+BI12+BJ12)/(AY6+AZ6+BA6+BB6+BC6+BD6+BE6+BF6+BG6+BH6+BI6+BJ6))</f>
        <v/>
      </c>
    </row>
    <row r="14" ht="15" customHeight="1" s="104">
      <c r="A14" s="107" t="inlineStr">
        <is>
          <t>Technology &amp; Software</t>
        </is>
      </c>
      <c r="C14" s="156">
        <f>C6*(Assumptions!B30+Assumptions!B31*0)</f>
        <v/>
      </c>
      <c r="D14" s="156">
        <f>D6*(Assumptions!B30+Assumptions!B31*0)</f>
        <v/>
      </c>
      <c r="E14" s="156">
        <f>E6*(Assumptions!B30+Assumptions!B31*0)</f>
        <v/>
      </c>
      <c r="F14" s="156">
        <f>F6*(Assumptions!B30+Assumptions!B31*0)</f>
        <v/>
      </c>
      <c r="G14" s="156">
        <f>G6*(Assumptions!B30+Assumptions!B31*0)</f>
        <v/>
      </c>
      <c r="H14" s="156">
        <f>H6*(Assumptions!B30+Assumptions!B31*0)</f>
        <v/>
      </c>
      <c r="I14" s="156">
        <f>I6*(Assumptions!B30+Assumptions!B31*0)</f>
        <v/>
      </c>
      <c r="J14" s="156">
        <f>J6*(Assumptions!B30+Assumptions!B31*0)</f>
        <v/>
      </c>
      <c r="K14" s="156">
        <f>K6*(Assumptions!B30+Assumptions!B31*0)</f>
        <v/>
      </c>
      <c r="L14" s="156">
        <f>L6*(Assumptions!B30+Assumptions!B31*0)</f>
        <v/>
      </c>
      <c r="M14" s="156">
        <f>M6*(Assumptions!B30+Assumptions!B31*0)</f>
        <v/>
      </c>
      <c r="N14" s="156">
        <f>N6*(Assumptions!B30+Assumptions!B31*0)</f>
        <v/>
      </c>
      <c r="O14" s="156">
        <f>O6*(Assumptions!B30+Assumptions!B31*1)</f>
        <v/>
      </c>
      <c r="P14" s="156">
        <f>P6*(Assumptions!B30+Assumptions!B31*1)</f>
        <v/>
      </c>
      <c r="Q14" s="156">
        <f>Q6*(Assumptions!B30+Assumptions!B31*1)</f>
        <v/>
      </c>
      <c r="R14" s="156">
        <f>R6*(Assumptions!B30+Assumptions!B31*1)</f>
        <v/>
      </c>
      <c r="S14" s="156">
        <f>S6*(Assumptions!B30+Assumptions!B31*1)</f>
        <v/>
      </c>
      <c r="T14" s="156">
        <f>T6*(Assumptions!B30+Assumptions!B31*1)</f>
        <v/>
      </c>
      <c r="U14" s="156">
        <f>U6*(Assumptions!B30+Assumptions!B31*1)</f>
        <v/>
      </c>
      <c r="V14" s="156">
        <f>V6*(Assumptions!B30+Assumptions!B31*1)</f>
        <v/>
      </c>
      <c r="W14" s="156">
        <f>W6*(Assumptions!B30+Assumptions!B31*1)</f>
        <v/>
      </c>
      <c r="X14" s="156">
        <f>X6*(Assumptions!B30+Assumptions!B31*1)</f>
        <v/>
      </c>
      <c r="Y14" s="156">
        <f>Y6*(Assumptions!B30+Assumptions!B31*1)</f>
        <v/>
      </c>
      <c r="Z14" s="156">
        <f>Z6*(Assumptions!B30+Assumptions!B31*1)</f>
        <v/>
      </c>
      <c r="AA14" s="156">
        <f>AA6*(Assumptions!B30+Assumptions!B31*2)</f>
        <v/>
      </c>
      <c r="AB14" s="156">
        <f>AB6*(Assumptions!B30+Assumptions!B31*2)</f>
        <v/>
      </c>
      <c r="AC14" s="156">
        <f>AC6*(Assumptions!B30+Assumptions!B31*2)</f>
        <v/>
      </c>
      <c r="AD14" s="156">
        <f>AD6*(Assumptions!B30+Assumptions!B31*2)</f>
        <v/>
      </c>
      <c r="AE14" s="156">
        <f>AE6*(Assumptions!B30+Assumptions!B31*2)</f>
        <v/>
      </c>
      <c r="AF14" s="156">
        <f>AF6*(Assumptions!B30+Assumptions!B31*2)</f>
        <v/>
      </c>
      <c r="AG14" s="156">
        <f>AG6*(Assumptions!B30+Assumptions!B31*2)</f>
        <v/>
      </c>
      <c r="AH14" s="156">
        <f>AH6*(Assumptions!B30+Assumptions!B31*2)</f>
        <v/>
      </c>
      <c r="AI14" s="156">
        <f>AI6*(Assumptions!B30+Assumptions!B31*2)</f>
        <v/>
      </c>
      <c r="AJ14" s="156">
        <f>AJ6*(Assumptions!B30+Assumptions!B31*2)</f>
        <v/>
      </c>
      <c r="AK14" s="156">
        <f>AK6*(Assumptions!B30+Assumptions!B31*2)</f>
        <v/>
      </c>
      <c r="AL14" s="156">
        <f>AL6*(Assumptions!B30+Assumptions!B31*2)</f>
        <v/>
      </c>
      <c r="AM14" s="156">
        <f>AM6*(Assumptions!B30+Assumptions!B31*3)</f>
        <v/>
      </c>
      <c r="AN14" s="156">
        <f>AN6*(Assumptions!B30+Assumptions!B31*3)</f>
        <v/>
      </c>
      <c r="AO14" s="156">
        <f>AO6*(Assumptions!B30+Assumptions!B31*3)</f>
        <v/>
      </c>
      <c r="AP14" s="156">
        <f>AP6*(Assumptions!B30+Assumptions!B31*3)</f>
        <v/>
      </c>
      <c r="AQ14" s="156">
        <f>AQ6*(Assumptions!B30+Assumptions!B31*3)</f>
        <v/>
      </c>
      <c r="AR14" s="156">
        <f>AR6*(Assumptions!B30+Assumptions!B31*3)</f>
        <v/>
      </c>
      <c r="AS14" s="156">
        <f>AS6*(Assumptions!B30+Assumptions!B31*3)</f>
        <v/>
      </c>
      <c r="AT14" s="156">
        <f>AT6*(Assumptions!B30+Assumptions!B31*3)</f>
        <v/>
      </c>
      <c r="AU14" s="156">
        <f>AU6*(Assumptions!B30+Assumptions!B31*3)</f>
        <v/>
      </c>
      <c r="AV14" s="156">
        <f>AV6*(Assumptions!B30+Assumptions!B31*3)</f>
        <v/>
      </c>
      <c r="AW14" s="156">
        <f>AW6*(Assumptions!B30+Assumptions!B31*3)</f>
        <v/>
      </c>
      <c r="AX14" s="156">
        <f>AX6*(Assumptions!B30+Assumptions!B31*3)</f>
        <v/>
      </c>
      <c r="AY14" s="156">
        <f>AY6*(Assumptions!B30+Assumptions!B31*4)</f>
        <v/>
      </c>
      <c r="AZ14" s="156">
        <f>AZ6*(Assumptions!B30+Assumptions!B31*4)</f>
        <v/>
      </c>
      <c r="BA14" s="156">
        <f>BA6*(Assumptions!B30+Assumptions!B31*4)</f>
        <v/>
      </c>
      <c r="BB14" s="156">
        <f>BB6*(Assumptions!B30+Assumptions!B31*4)</f>
        <v/>
      </c>
      <c r="BC14" s="156">
        <f>BC6*(Assumptions!B30+Assumptions!B31*4)</f>
        <v/>
      </c>
      <c r="BD14" s="156">
        <f>BD6*(Assumptions!B30+Assumptions!B31*4)</f>
        <v/>
      </c>
      <c r="BE14" s="156">
        <f>BE6*(Assumptions!B30+Assumptions!B31*4)</f>
        <v/>
      </c>
      <c r="BF14" s="156">
        <f>BF6*(Assumptions!B30+Assumptions!B31*4)</f>
        <v/>
      </c>
      <c r="BG14" s="156">
        <f>BG6*(Assumptions!B30+Assumptions!B31*4)</f>
        <v/>
      </c>
      <c r="BH14" s="156">
        <f>BH6*(Assumptions!B30+Assumptions!B31*4)</f>
        <v/>
      </c>
      <c r="BI14" s="156">
        <f>BI6*(Assumptions!B30+Assumptions!B31*4)</f>
        <v/>
      </c>
      <c r="BJ14" s="156">
        <f>BJ6*(Assumptions!B30+Assumptions!B31*4)</f>
        <v/>
      </c>
      <c r="BL14" s="157">
        <f>C14+D14+E14+F14+G14+H14+I14+J14+K14+L14+M14+N14</f>
        <v/>
      </c>
      <c r="BM14" s="157">
        <f>O14+P14+Q14+R14+S14+T14+U14+V14+W14+X14+Y14+Z14</f>
        <v/>
      </c>
      <c r="BN14" s="157">
        <f>AA14+AB14+AC14+AD14+AE14+AF14+AG14+AH14+AI14+AJ14+AK14+AL14</f>
        <v/>
      </c>
      <c r="BO14" s="157">
        <f>AM14+AN14+AO14+AP14+AQ14+AR14+AS14+AT14+AU14+AV14+AW14+AX14</f>
        <v/>
      </c>
      <c r="BP14" s="157">
        <f>AY14+AZ14+BA14+BB14+BC14+BD14+BE14+BF14+BG14+BH14+BI14+BJ14</f>
        <v/>
      </c>
    </row>
    <row r="15" ht="15" customHeight="1" s="104">
      <c r="A15" s="215" t="inlineStr">
        <is>
          <t xml:space="preserve">    % of Revenue</t>
        </is>
      </c>
      <c r="C15" s="216">
        <f>IF(C6=0,0,C14/C6)</f>
        <v/>
      </c>
      <c r="D15" s="216">
        <f>IF(D6=0,0,D14/D6)</f>
        <v/>
      </c>
      <c r="E15" s="216">
        <f>IF(E6=0,0,E14/E6)</f>
        <v/>
      </c>
      <c r="F15" s="216">
        <f>IF(F6=0,0,F14/F6)</f>
        <v/>
      </c>
      <c r="G15" s="216">
        <f>IF(G6=0,0,G14/G6)</f>
        <v/>
      </c>
      <c r="H15" s="216">
        <f>IF(H6=0,0,H14/H6)</f>
        <v/>
      </c>
      <c r="I15" s="216">
        <f>IF(I6=0,0,I14/I6)</f>
        <v/>
      </c>
      <c r="J15" s="216">
        <f>IF(J6=0,0,J14/J6)</f>
        <v/>
      </c>
      <c r="K15" s="216">
        <f>IF(K6=0,0,K14/K6)</f>
        <v/>
      </c>
      <c r="L15" s="216">
        <f>IF(L6=0,0,L14/L6)</f>
        <v/>
      </c>
      <c r="M15" s="216">
        <f>IF(M6=0,0,M14/M6)</f>
        <v/>
      </c>
      <c r="N15" s="216">
        <f>IF(N6=0,0,N14/N6)</f>
        <v/>
      </c>
      <c r="O15" s="216">
        <f>IF(O6=0,0,O14/O6)</f>
        <v/>
      </c>
      <c r="P15" s="216">
        <f>IF(P6=0,0,P14/P6)</f>
        <v/>
      </c>
      <c r="Q15" s="216">
        <f>IF(Q6=0,0,Q14/Q6)</f>
        <v/>
      </c>
      <c r="R15" s="216">
        <f>IF(R6=0,0,R14/R6)</f>
        <v/>
      </c>
      <c r="S15" s="216">
        <f>IF(S6=0,0,S14/S6)</f>
        <v/>
      </c>
      <c r="T15" s="216">
        <f>IF(T6=0,0,T14/T6)</f>
        <v/>
      </c>
      <c r="U15" s="216">
        <f>IF(U6=0,0,U14/U6)</f>
        <v/>
      </c>
      <c r="V15" s="216">
        <f>IF(V6=0,0,V14/V6)</f>
        <v/>
      </c>
      <c r="W15" s="216">
        <f>IF(W6=0,0,W14/W6)</f>
        <v/>
      </c>
      <c r="X15" s="216">
        <f>IF(X6=0,0,X14/X6)</f>
        <v/>
      </c>
      <c r="Y15" s="216">
        <f>IF(Y6=0,0,Y14/Y6)</f>
        <v/>
      </c>
      <c r="Z15" s="216">
        <f>IF(Z6=0,0,Z14/Z6)</f>
        <v/>
      </c>
      <c r="AA15" s="216">
        <f>IF(AA6=0,0,AA14/AA6)</f>
        <v/>
      </c>
      <c r="AB15" s="216">
        <f>IF(AB6=0,0,AB14/AB6)</f>
        <v/>
      </c>
      <c r="AC15" s="216">
        <f>IF(AC6=0,0,AC14/AC6)</f>
        <v/>
      </c>
      <c r="AD15" s="216">
        <f>IF(AD6=0,0,AD14/AD6)</f>
        <v/>
      </c>
      <c r="AE15" s="216">
        <f>IF(AE6=0,0,AE14/AE6)</f>
        <v/>
      </c>
      <c r="AF15" s="216">
        <f>IF(AF6=0,0,AF14/AF6)</f>
        <v/>
      </c>
      <c r="AG15" s="216">
        <f>IF(AG6=0,0,AG14/AG6)</f>
        <v/>
      </c>
      <c r="AH15" s="216">
        <f>IF(AH6=0,0,AH14/AH6)</f>
        <v/>
      </c>
      <c r="AI15" s="216">
        <f>IF(AI6=0,0,AI14/AI6)</f>
        <v/>
      </c>
      <c r="AJ15" s="216">
        <f>IF(AJ6=0,0,AJ14/AJ6)</f>
        <v/>
      </c>
      <c r="AK15" s="216">
        <f>IF(AK6=0,0,AK14/AK6)</f>
        <v/>
      </c>
      <c r="AL15" s="216">
        <f>IF(AL6=0,0,AL14/AL6)</f>
        <v/>
      </c>
      <c r="AM15" s="216">
        <f>IF(AM6=0,0,AM14/AM6)</f>
        <v/>
      </c>
      <c r="AN15" s="216">
        <f>IF(AN6=0,0,AN14/AN6)</f>
        <v/>
      </c>
      <c r="AO15" s="216">
        <f>IF(AO6=0,0,AO14/AO6)</f>
        <v/>
      </c>
      <c r="AP15" s="216">
        <f>IF(AP6=0,0,AP14/AP6)</f>
        <v/>
      </c>
      <c r="AQ15" s="216">
        <f>IF(AQ6=0,0,AQ14/AQ6)</f>
        <v/>
      </c>
      <c r="AR15" s="216">
        <f>IF(AR6=0,0,AR14/AR6)</f>
        <v/>
      </c>
      <c r="AS15" s="216">
        <f>IF(AS6=0,0,AS14/AS6)</f>
        <v/>
      </c>
      <c r="AT15" s="216">
        <f>IF(AT6=0,0,AT14/AT6)</f>
        <v/>
      </c>
      <c r="AU15" s="216">
        <f>IF(AU6=0,0,AU14/AU6)</f>
        <v/>
      </c>
      <c r="AV15" s="216">
        <f>IF(AV6=0,0,AV14/AV6)</f>
        <v/>
      </c>
      <c r="AW15" s="216">
        <f>IF(AW6=0,0,AW14/AW6)</f>
        <v/>
      </c>
      <c r="AX15" s="216">
        <f>IF(AX6=0,0,AX14/AX6)</f>
        <v/>
      </c>
      <c r="AY15" s="216">
        <f>IF(AY6=0,0,AY14/AY6)</f>
        <v/>
      </c>
      <c r="AZ15" s="216">
        <f>IF(AZ6=0,0,AZ14/AZ6)</f>
        <v/>
      </c>
      <c r="BA15" s="216">
        <f>IF(BA6=0,0,BA14/BA6)</f>
        <v/>
      </c>
      <c r="BB15" s="216">
        <f>IF(BB6=0,0,BB14/BB6)</f>
        <v/>
      </c>
      <c r="BC15" s="216">
        <f>IF(BC6=0,0,BC14/BC6)</f>
        <v/>
      </c>
      <c r="BD15" s="216">
        <f>IF(BD6=0,0,BD14/BD6)</f>
        <v/>
      </c>
      <c r="BE15" s="216">
        <f>IF(BE6=0,0,BE14/BE6)</f>
        <v/>
      </c>
      <c r="BF15" s="216">
        <f>IF(BF6=0,0,BF14/BF6)</f>
        <v/>
      </c>
      <c r="BG15" s="216">
        <f>IF(BG6=0,0,BG14/BG6)</f>
        <v/>
      </c>
      <c r="BH15" s="216">
        <f>IF(BH6=0,0,BH14/BH6)</f>
        <v/>
      </c>
      <c r="BI15" s="216">
        <f>IF(BI6=0,0,BI14/BI6)</f>
        <v/>
      </c>
      <c r="BJ15" s="216">
        <f>IF(BJ6=0,0,BJ14/BJ6)</f>
        <v/>
      </c>
      <c r="BL15" s="217">
        <f>IF((C6+D6+E6+F6+G6+H6+I6+J6+K6+L6+M6+N6)=0,0,(C14+D14+E14+F14+G14+H14+I14+J14+K14+L14+M14+N14)/(C6+D6+E6+F6+G6+H6+I6+J6+K6+L6+M6+N6))</f>
        <v/>
      </c>
      <c r="BM15" s="217">
        <f>IF((O6+P6+Q6+R6+S6+T6+U6+V6+W6+X6+Y6+Z6)=0,0,(O14+P14+Q14+R14+S14+T14+U14+V14+W14+X14+Y14+Z14)/(O6+P6+Q6+R6+S6+T6+U6+V6+W6+X6+Y6+Z6))</f>
        <v/>
      </c>
      <c r="BN15" s="217">
        <f>IF((AA6+AB6+AC6+AD6+AE6+AF6+AG6+AH6+AI6+AJ6+AK6+AL6)=0,0,(AA14+AB14+AC14+AD14+AE14+AF14+AG14+AH14+AI14+AJ14+AK14+AL14)/(AA6+AB6+AC6+AD6+AE6+AF6+AG6+AH6+AI6+AJ6+AK6+AL6))</f>
        <v/>
      </c>
      <c r="BO15" s="217">
        <f>IF((AM6+AN6+AO6+AP6+AQ6+AR6+AS6+AT6+AU6+AV6+AW6+AX6)=0,0,(AM14+AN14+AO14+AP14+AQ14+AR14+AS14+AT14+AU14+AV14+AW14+AX14)/(AM6+AN6+AO6+AP6+AQ6+AR6+AS6+AT6+AU6+AV6+AW6+AX6))</f>
        <v/>
      </c>
      <c r="BP15" s="217">
        <f>IF((AY6+AZ6+BA6+BB6+BC6+BD6+BE6+BF6+BG6+BH6+BI6+BJ6)=0,0,(AY14+AZ14+BA14+BB14+BC14+BD14+BE14+BF14+BG14+BH14+BI14+BJ14)/(AY6+AZ6+BA6+BB6+BC6+BD6+BE6+BF6+BG6+BH6+BI6+BJ6))</f>
        <v/>
      </c>
    </row>
    <row r="16" ht="15" customHeight="1" s="104">
      <c r="A16" s="107" t="inlineStr">
        <is>
          <t>Insurance</t>
        </is>
      </c>
      <c r="C16" s="156">
        <f>C6*(Assumptions!B32+Assumptions!B33*0)</f>
        <v/>
      </c>
      <c r="D16" s="156">
        <f>D6*(Assumptions!B32+Assumptions!B33*0)</f>
        <v/>
      </c>
      <c r="E16" s="156">
        <f>E6*(Assumptions!B32+Assumptions!B33*0)</f>
        <v/>
      </c>
      <c r="F16" s="156">
        <f>F6*(Assumptions!B32+Assumptions!B33*0)</f>
        <v/>
      </c>
      <c r="G16" s="156">
        <f>G6*(Assumptions!B32+Assumptions!B33*0)</f>
        <v/>
      </c>
      <c r="H16" s="156">
        <f>H6*(Assumptions!B32+Assumptions!B33*0)</f>
        <v/>
      </c>
      <c r="I16" s="156">
        <f>I6*(Assumptions!B32+Assumptions!B33*0)</f>
        <v/>
      </c>
      <c r="J16" s="156">
        <f>J6*(Assumptions!B32+Assumptions!B33*0)</f>
        <v/>
      </c>
      <c r="K16" s="156">
        <f>K6*(Assumptions!B32+Assumptions!B33*0)</f>
        <v/>
      </c>
      <c r="L16" s="156">
        <f>L6*(Assumptions!B32+Assumptions!B33*0)</f>
        <v/>
      </c>
      <c r="M16" s="156">
        <f>M6*(Assumptions!B32+Assumptions!B33*0)</f>
        <v/>
      </c>
      <c r="N16" s="156">
        <f>N6*(Assumptions!B32+Assumptions!B33*0)</f>
        <v/>
      </c>
      <c r="O16" s="156">
        <f>O6*(Assumptions!B32+Assumptions!B33*1)</f>
        <v/>
      </c>
      <c r="P16" s="156">
        <f>P6*(Assumptions!B32+Assumptions!B33*1)</f>
        <v/>
      </c>
      <c r="Q16" s="156">
        <f>Q6*(Assumptions!B32+Assumptions!B33*1)</f>
        <v/>
      </c>
      <c r="R16" s="156">
        <f>R6*(Assumptions!B32+Assumptions!B33*1)</f>
        <v/>
      </c>
      <c r="S16" s="156">
        <f>S6*(Assumptions!B32+Assumptions!B33*1)</f>
        <v/>
      </c>
      <c r="T16" s="156">
        <f>T6*(Assumptions!B32+Assumptions!B33*1)</f>
        <v/>
      </c>
      <c r="U16" s="156">
        <f>U6*(Assumptions!B32+Assumptions!B33*1)</f>
        <v/>
      </c>
      <c r="V16" s="156">
        <f>V6*(Assumptions!B32+Assumptions!B33*1)</f>
        <v/>
      </c>
      <c r="W16" s="156">
        <f>W6*(Assumptions!B32+Assumptions!B33*1)</f>
        <v/>
      </c>
      <c r="X16" s="156">
        <f>X6*(Assumptions!B32+Assumptions!B33*1)</f>
        <v/>
      </c>
      <c r="Y16" s="156">
        <f>Y6*(Assumptions!B32+Assumptions!B33*1)</f>
        <v/>
      </c>
      <c r="Z16" s="156">
        <f>Z6*(Assumptions!B32+Assumptions!B33*1)</f>
        <v/>
      </c>
      <c r="AA16" s="156">
        <f>AA6*(Assumptions!B32+Assumptions!B33*2)</f>
        <v/>
      </c>
      <c r="AB16" s="156">
        <f>AB6*(Assumptions!B32+Assumptions!B33*2)</f>
        <v/>
      </c>
      <c r="AC16" s="156">
        <f>AC6*(Assumptions!B32+Assumptions!B33*2)</f>
        <v/>
      </c>
      <c r="AD16" s="156">
        <f>AD6*(Assumptions!B32+Assumptions!B33*2)</f>
        <v/>
      </c>
      <c r="AE16" s="156">
        <f>AE6*(Assumptions!B32+Assumptions!B33*2)</f>
        <v/>
      </c>
      <c r="AF16" s="156">
        <f>AF6*(Assumptions!B32+Assumptions!B33*2)</f>
        <v/>
      </c>
      <c r="AG16" s="156">
        <f>AG6*(Assumptions!B32+Assumptions!B33*2)</f>
        <v/>
      </c>
      <c r="AH16" s="156">
        <f>AH6*(Assumptions!B32+Assumptions!B33*2)</f>
        <v/>
      </c>
      <c r="AI16" s="156">
        <f>AI6*(Assumptions!B32+Assumptions!B33*2)</f>
        <v/>
      </c>
      <c r="AJ16" s="156">
        <f>AJ6*(Assumptions!B32+Assumptions!B33*2)</f>
        <v/>
      </c>
      <c r="AK16" s="156">
        <f>AK6*(Assumptions!B32+Assumptions!B33*2)</f>
        <v/>
      </c>
      <c r="AL16" s="156">
        <f>AL6*(Assumptions!B32+Assumptions!B33*2)</f>
        <v/>
      </c>
      <c r="AM16" s="156">
        <f>AM6*(Assumptions!B32+Assumptions!B33*3)</f>
        <v/>
      </c>
      <c r="AN16" s="156">
        <f>AN6*(Assumptions!B32+Assumptions!B33*3)</f>
        <v/>
      </c>
      <c r="AO16" s="156">
        <f>AO6*(Assumptions!B32+Assumptions!B33*3)</f>
        <v/>
      </c>
      <c r="AP16" s="156">
        <f>AP6*(Assumptions!B32+Assumptions!B33*3)</f>
        <v/>
      </c>
      <c r="AQ16" s="156">
        <f>AQ6*(Assumptions!B32+Assumptions!B33*3)</f>
        <v/>
      </c>
      <c r="AR16" s="156">
        <f>AR6*(Assumptions!B32+Assumptions!B33*3)</f>
        <v/>
      </c>
      <c r="AS16" s="156">
        <f>AS6*(Assumptions!B32+Assumptions!B33*3)</f>
        <v/>
      </c>
      <c r="AT16" s="156">
        <f>AT6*(Assumptions!B32+Assumptions!B33*3)</f>
        <v/>
      </c>
      <c r="AU16" s="156">
        <f>AU6*(Assumptions!B32+Assumptions!B33*3)</f>
        <v/>
      </c>
      <c r="AV16" s="156">
        <f>AV6*(Assumptions!B32+Assumptions!B33*3)</f>
        <v/>
      </c>
      <c r="AW16" s="156">
        <f>AW6*(Assumptions!B32+Assumptions!B33*3)</f>
        <v/>
      </c>
      <c r="AX16" s="156">
        <f>AX6*(Assumptions!B32+Assumptions!B33*3)</f>
        <v/>
      </c>
      <c r="AY16" s="156">
        <f>AY6*(Assumptions!B32+Assumptions!B33*4)</f>
        <v/>
      </c>
      <c r="AZ16" s="156">
        <f>AZ6*(Assumptions!B32+Assumptions!B33*4)</f>
        <v/>
      </c>
      <c r="BA16" s="156">
        <f>BA6*(Assumptions!B32+Assumptions!B33*4)</f>
        <v/>
      </c>
      <c r="BB16" s="156">
        <f>BB6*(Assumptions!B32+Assumptions!B33*4)</f>
        <v/>
      </c>
      <c r="BC16" s="156">
        <f>BC6*(Assumptions!B32+Assumptions!B33*4)</f>
        <v/>
      </c>
      <c r="BD16" s="156">
        <f>BD6*(Assumptions!B32+Assumptions!B33*4)</f>
        <v/>
      </c>
      <c r="BE16" s="156">
        <f>BE6*(Assumptions!B32+Assumptions!B33*4)</f>
        <v/>
      </c>
      <c r="BF16" s="156">
        <f>BF6*(Assumptions!B32+Assumptions!B33*4)</f>
        <v/>
      </c>
      <c r="BG16" s="156">
        <f>BG6*(Assumptions!B32+Assumptions!B33*4)</f>
        <v/>
      </c>
      <c r="BH16" s="156">
        <f>BH6*(Assumptions!B32+Assumptions!B33*4)</f>
        <v/>
      </c>
      <c r="BI16" s="156">
        <f>BI6*(Assumptions!B32+Assumptions!B33*4)</f>
        <v/>
      </c>
      <c r="BJ16" s="156">
        <f>BJ6*(Assumptions!B32+Assumptions!B33*4)</f>
        <v/>
      </c>
      <c r="BL16" s="157">
        <f>C16+D16+E16+F16+G16+H16+I16+J16+K16+L16+M16+N16</f>
        <v/>
      </c>
      <c r="BM16" s="157">
        <f>O16+P16+Q16+R16+S16+T16+U16+V16+W16+X16+Y16+Z16</f>
        <v/>
      </c>
      <c r="BN16" s="157">
        <f>AA16+AB16+AC16+AD16+AE16+AF16+AG16+AH16+AI16+AJ16+AK16+AL16</f>
        <v/>
      </c>
      <c r="BO16" s="157">
        <f>AM16+AN16+AO16+AP16+AQ16+AR16+AS16+AT16+AU16+AV16+AW16+AX16</f>
        <v/>
      </c>
      <c r="BP16" s="157">
        <f>AY16+AZ16+BA16+BB16+BC16+BD16+BE16+BF16+BG16+BH16+BI16+BJ16</f>
        <v/>
      </c>
    </row>
    <row r="17" ht="15" customHeight="1" s="104">
      <c r="A17" s="215" t="inlineStr">
        <is>
          <t xml:space="preserve">    % of Revenue</t>
        </is>
      </c>
      <c r="C17" s="216">
        <f>IF(C6=0,0,C16/C6)</f>
        <v/>
      </c>
      <c r="D17" s="216">
        <f>IF(D6=0,0,D16/D6)</f>
        <v/>
      </c>
      <c r="E17" s="216">
        <f>IF(E6=0,0,E16/E6)</f>
        <v/>
      </c>
      <c r="F17" s="216">
        <f>IF(F6=0,0,F16/F6)</f>
        <v/>
      </c>
      <c r="G17" s="216">
        <f>IF(G6=0,0,G16/G6)</f>
        <v/>
      </c>
      <c r="H17" s="216">
        <f>IF(H6=0,0,H16/H6)</f>
        <v/>
      </c>
      <c r="I17" s="216">
        <f>IF(I6=0,0,I16/I6)</f>
        <v/>
      </c>
      <c r="J17" s="216">
        <f>IF(J6=0,0,J16/J6)</f>
        <v/>
      </c>
      <c r="K17" s="216">
        <f>IF(K6=0,0,K16/K6)</f>
        <v/>
      </c>
      <c r="L17" s="216">
        <f>IF(L6=0,0,L16/L6)</f>
        <v/>
      </c>
      <c r="M17" s="216">
        <f>IF(M6=0,0,M16/M6)</f>
        <v/>
      </c>
      <c r="N17" s="216">
        <f>IF(N6=0,0,N16/N6)</f>
        <v/>
      </c>
      <c r="O17" s="216">
        <f>IF(O6=0,0,O16/O6)</f>
        <v/>
      </c>
      <c r="P17" s="216">
        <f>IF(P6=0,0,P16/P6)</f>
        <v/>
      </c>
      <c r="Q17" s="216">
        <f>IF(Q6=0,0,Q16/Q6)</f>
        <v/>
      </c>
      <c r="R17" s="216">
        <f>IF(R6=0,0,R16/R6)</f>
        <v/>
      </c>
      <c r="S17" s="216">
        <f>IF(S6=0,0,S16/S6)</f>
        <v/>
      </c>
      <c r="T17" s="216">
        <f>IF(T6=0,0,T16/T6)</f>
        <v/>
      </c>
      <c r="U17" s="216">
        <f>IF(U6=0,0,U16/U6)</f>
        <v/>
      </c>
      <c r="V17" s="216">
        <f>IF(V6=0,0,V16/V6)</f>
        <v/>
      </c>
      <c r="W17" s="216">
        <f>IF(W6=0,0,W16/W6)</f>
        <v/>
      </c>
      <c r="X17" s="216">
        <f>IF(X6=0,0,X16/X6)</f>
        <v/>
      </c>
      <c r="Y17" s="216">
        <f>IF(Y6=0,0,Y16/Y6)</f>
        <v/>
      </c>
      <c r="Z17" s="216">
        <f>IF(Z6=0,0,Z16/Z6)</f>
        <v/>
      </c>
      <c r="AA17" s="216">
        <f>IF(AA6=0,0,AA16/AA6)</f>
        <v/>
      </c>
      <c r="AB17" s="216">
        <f>IF(AB6=0,0,AB16/AB6)</f>
        <v/>
      </c>
      <c r="AC17" s="216">
        <f>IF(AC6=0,0,AC16/AC6)</f>
        <v/>
      </c>
      <c r="AD17" s="216">
        <f>IF(AD6=0,0,AD16/AD6)</f>
        <v/>
      </c>
      <c r="AE17" s="216">
        <f>IF(AE6=0,0,AE16/AE6)</f>
        <v/>
      </c>
      <c r="AF17" s="216">
        <f>IF(AF6=0,0,AF16/AF6)</f>
        <v/>
      </c>
      <c r="AG17" s="216">
        <f>IF(AG6=0,0,AG16/AG6)</f>
        <v/>
      </c>
      <c r="AH17" s="216">
        <f>IF(AH6=0,0,AH16/AH6)</f>
        <v/>
      </c>
      <c r="AI17" s="216">
        <f>IF(AI6=0,0,AI16/AI6)</f>
        <v/>
      </c>
      <c r="AJ17" s="216">
        <f>IF(AJ6=0,0,AJ16/AJ6)</f>
        <v/>
      </c>
      <c r="AK17" s="216">
        <f>IF(AK6=0,0,AK16/AK6)</f>
        <v/>
      </c>
      <c r="AL17" s="216">
        <f>IF(AL6=0,0,AL16/AL6)</f>
        <v/>
      </c>
      <c r="AM17" s="216">
        <f>IF(AM6=0,0,AM16/AM6)</f>
        <v/>
      </c>
      <c r="AN17" s="216">
        <f>IF(AN6=0,0,AN16/AN6)</f>
        <v/>
      </c>
      <c r="AO17" s="216">
        <f>IF(AO6=0,0,AO16/AO6)</f>
        <v/>
      </c>
      <c r="AP17" s="216">
        <f>IF(AP6=0,0,AP16/AP6)</f>
        <v/>
      </c>
      <c r="AQ17" s="216">
        <f>IF(AQ6=0,0,AQ16/AQ6)</f>
        <v/>
      </c>
      <c r="AR17" s="216">
        <f>IF(AR6=0,0,AR16/AR6)</f>
        <v/>
      </c>
      <c r="AS17" s="216">
        <f>IF(AS6=0,0,AS16/AS6)</f>
        <v/>
      </c>
      <c r="AT17" s="216">
        <f>IF(AT6=0,0,AT16/AT6)</f>
        <v/>
      </c>
      <c r="AU17" s="216">
        <f>IF(AU6=0,0,AU16/AU6)</f>
        <v/>
      </c>
      <c r="AV17" s="216">
        <f>IF(AV6=0,0,AV16/AV6)</f>
        <v/>
      </c>
      <c r="AW17" s="216">
        <f>IF(AW6=0,0,AW16/AW6)</f>
        <v/>
      </c>
      <c r="AX17" s="216">
        <f>IF(AX6=0,0,AX16/AX6)</f>
        <v/>
      </c>
      <c r="AY17" s="216">
        <f>IF(AY6=0,0,AY16/AY6)</f>
        <v/>
      </c>
      <c r="AZ17" s="216">
        <f>IF(AZ6=0,0,AZ16/AZ6)</f>
        <v/>
      </c>
      <c r="BA17" s="216">
        <f>IF(BA6=0,0,BA16/BA6)</f>
        <v/>
      </c>
      <c r="BB17" s="216">
        <f>IF(BB6=0,0,BB16/BB6)</f>
        <v/>
      </c>
      <c r="BC17" s="216">
        <f>IF(BC6=0,0,BC16/BC6)</f>
        <v/>
      </c>
      <c r="BD17" s="216">
        <f>IF(BD6=0,0,BD16/BD6)</f>
        <v/>
      </c>
      <c r="BE17" s="216">
        <f>IF(BE6=0,0,BE16/BE6)</f>
        <v/>
      </c>
      <c r="BF17" s="216">
        <f>IF(BF6=0,0,BF16/BF6)</f>
        <v/>
      </c>
      <c r="BG17" s="216">
        <f>IF(BG6=0,0,BG16/BG6)</f>
        <v/>
      </c>
      <c r="BH17" s="216">
        <f>IF(BH6=0,0,BH16/BH6)</f>
        <v/>
      </c>
      <c r="BI17" s="216">
        <f>IF(BI6=0,0,BI16/BI6)</f>
        <v/>
      </c>
      <c r="BJ17" s="216">
        <f>IF(BJ6=0,0,BJ16/BJ6)</f>
        <v/>
      </c>
      <c r="BL17" s="217">
        <f>IF((C6+D6+E6+F6+G6+H6+I6+J6+K6+L6+M6+N6)=0,0,(C16+D16+E16+F16+G16+H16+I16+J16+K16+L16+M16+N16)/(C6+D6+E6+F6+G6+H6+I6+J6+K6+L6+M6+N6))</f>
        <v/>
      </c>
      <c r="BM17" s="217">
        <f>IF((O6+P6+Q6+R6+S6+T6+U6+V6+W6+X6+Y6+Z6)=0,0,(O16+P16+Q16+R16+S16+T16+U16+V16+W16+X16+Y16+Z16)/(O6+P6+Q6+R6+S6+T6+U6+V6+W6+X6+Y6+Z6))</f>
        <v/>
      </c>
      <c r="BN17" s="217">
        <f>IF((AA6+AB6+AC6+AD6+AE6+AF6+AG6+AH6+AI6+AJ6+AK6+AL6)=0,0,(AA16+AB16+AC16+AD16+AE16+AF16+AG16+AH16+AI16+AJ16+AK16+AL16)/(AA6+AB6+AC6+AD6+AE6+AF6+AG6+AH6+AI6+AJ6+AK6+AL6))</f>
        <v/>
      </c>
      <c r="BO17" s="217">
        <f>IF((AM6+AN6+AO6+AP6+AQ6+AR6+AS6+AT6+AU6+AV6+AW6+AX6)=0,0,(AM16+AN16+AO16+AP16+AQ16+AR16+AS16+AT16+AU16+AV16+AW16+AX16)/(AM6+AN6+AO6+AP6+AQ6+AR6+AS6+AT6+AU6+AV6+AW6+AX6))</f>
        <v/>
      </c>
      <c r="BP17" s="217">
        <f>IF((AY6+AZ6+BA6+BB6+BC6+BD6+BE6+BF6+BG6+BH6+BI6+BJ6)=0,0,(AY16+AZ16+BA16+BB16+BC16+BD16+BE16+BF16+BG16+BH16+BI16+BJ16)/(AY6+AZ6+BA6+BB6+BC6+BD6+BE6+BF6+BG6+BH6+BI6+BJ6))</f>
        <v/>
      </c>
    </row>
    <row r="18" ht="15" customHeight="1" s="104">
      <c r="A18" s="107" t="inlineStr">
        <is>
          <t>Other Operating Expenses</t>
        </is>
      </c>
      <c r="C18" s="156">
        <f>C6*(Assumptions!B34+Assumptions!B35*0)</f>
        <v/>
      </c>
      <c r="D18" s="156">
        <f>D6*(Assumptions!B34+Assumptions!B35*0)</f>
        <v/>
      </c>
      <c r="E18" s="156">
        <f>E6*(Assumptions!B34+Assumptions!B35*0)</f>
        <v/>
      </c>
      <c r="F18" s="156">
        <f>F6*(Assumptions!B34+Assumptions!B35*0)</f>
        <v/>
      </c>
      <c r="G18" s="156">
        <f>G6*(Assumptions!B34+Assumptions!B35*0)</f>
        <v/>
      </c>
      <c r="H18" s="156">
        <f>H6*(Assumptions!B34+Assumptions!B35*0)</f>
        <v/>
      </c>
      <c r="I18" s="156">
        <f>I6*(Assumptions!B34+Assumptions!B35*0)</f>
        <v/>
      </c>
      <c r="J18" s="156">
        <f>J6*(Assumptions!B34+Assumptions!B35*0)</f>
        <v/>
      </c>
      <c r="K18" s="156">
        <f>K6*(Assumptions!B34+Assumptions!B35*0)</f>
        <v/>
      </c>
      <c r="L18" s="156">
        <f>L6*(Assumptions!B34+Assumptions!B35*0)</f>
        <v/>
      </c>
      <c r="M18" s="156">
        <f>M6*(Assumptions!B34+Assumptions!B35*0)</f>
        <v/>
      </c>
      <c r="N18" s="156">
        <f>N6*(Assumptions!B34+Assumptions!B35*0)</f>
        <v/>
      </c>
      <c r="O18" s="156">
        <f>O6*(Assumptions!B34+Assumptions!B35*1)</f>
        <v/>
      </c>
      <c r="P18" s="156">
        <f>P6*(Assumptions!B34+Assumptions!B35*1)</f>
        <v/>
      </c>
      <c r="Q18" s="156">
        <f>Q6*(Assumptions!B34+Assumptions!B35*1)</f>
        <v/>
      </c>
      <c r="R18" s="156">
        <f>R6*(Assumptions!B34+Assumptions!B35*1)</f>
        <v/>
      </c>
      <c r="S18" s="156">
        <f>S6*(Assumptions!B34+Assumptions!B35*1)</f>
        <v/>
      </c>
      <c r="T18" s="156">
        <f>T6*(Assumptions!B34+Assumptions!B35*1)</f>
        <v/>
      </c>
      <c r="U18" s="156">
        <f>U6*(Assumptions!B34+Assumptions!B35*1)</f>
        <v/>
      </c>
      <c r="V18" s="156">
        <f>V6*(Assumptions!B34+Assumptions!B35*1)</f>
        <v/>
      </c>
      <c r="W18" s="156">
        <f>W6*(Assumptions!B34+Assumptions!B35*1)</f>
        <v/>
      </c>
      <c r="X18" s="156">
        <f>X6*(Assumptions!B34+Assumptions!B35*1)</f>
        <v/>
      </c>
      <c r="Y18" s="156">
        <f>Y6*(Assumptions!B34+Assumptions!B35*1)</f>
        <v/>
      </c>
      <c r="Z18" s="156">
        <f>Z6*(Assumptions!B34+Assumptions!B35*1)</f>
        <v/>
      </c>
      <c r="AA18" s="156">
        <f>AA6*(Assumptions!B34+Assumptions!B35*2)</f>
        <v/>
      </c>
      <c r="AB18" s="156">
        <f>AB6*(Assumptions!B34+Assumptions!B35*2)</f>
        <v/>
      </c>
      <c r="AC18" s="156">
        <f>AC6*(Assumptions!B34+Assumptions!B35*2)</f>
        <v/>
      </c>
      <c r="AD18" s="156">
        <f>AD6*(Assumptions!B34+Assumptions!B35*2)</f>
        <v/>
      </c>
      <c r="AE18" s="156">
        <f>AE6*(Assumptions!B34+Assumptions!B35*2)</f>
        <v/>
      </c>
      <c r="AF18" s="156">
        <f>AF6*(Assumptions!B34+Assumptions!B35*2)</f>
        <v/>
      </c>
      <c r="AG18" s="156">
        <f>AG6*(Assumptions!B34+Assumptions!B35*2)</f>
        <v/>
      </c>
      <c r="AH18" s="156">
        <f>AH6*(Assumptions!B34+Assumptions!B35*2)</f>
        <v/>
      </c>
      <c r="AI18" s="156">
        <f>AI6*(Assumptions!B34+Assumptions!B35*2)</f>
        <v/>
      </c>
      <c r="AJ18" s="156">
        <f>AJ6*(Assumptions!B34+Assumptions!B35*2)</f>
        <v/>
      </c>
      <c r="AK18" s="156">
        <f>AK6*(Assumptions!B34+Assumptions!B35*2)</f>
        <v/>
      </c>
      <c r="AL18" s="156">
        <f>AL6*(Assumptions!B34+Assumptions!B35*2)</f>
        <v/>
      </c>
      <c r="AM18" s="156">
        <f>AM6*(Assumptions!B34+Assumptions!B35*3)</f>
        <v/>
      </c>
      <c r="AN18" s="156">
        <f>AN6*(Assumptions!B34+Assumptions!B35*3)</f>
        <v/>
      </c>
      <c r="AO18" s="156">
        <f>AO6*(Assumptions!B34+Assumptions!B35*3)</f>
        <v/>
      </c>
      <c r="AP18" s="156">
        <f>AP6*(Assumptions!B34+Assumptions!B35*3)</f>
        <v/>
      </c>
      <c r="AQ18" s="156">
        <f>AQ6*(Assumptions!B34+Assumptions!B35*3)</f>
        <v/>
      </c>
      <c r="AR18" s="156">
        <f>AR6*(Assumptions!B34+Assumptions!B35*3)</f>
        <v/>
      </c>
      <c r="AS18" s="156">
        <f>AS6*(Assumptions!B34+Assumptions!B35*3)</f>
        <v/>
      </c>
      <c r="AT18" s="156">
        <f>AT6*(Assumptions!B34+Assumptions!B35*3)</f>
        <v/>
      </c>
      <c r="AU18" s="156">
        <f>AU6*(Assumptions!B34+Assumptions!B35*3)</f>
        <v/>
      </c>
      <c r="AV18" s="156">
        <f>AV6*(Assumptions!B34+Assumptions!B35*3)</f>
        <v/>
      </c>
      <c r="AW18" s="156">
        <f>AW6*(Assumptions!B34+Assumptions!B35*3)</f>
        <v/>
      </c>
      <c r="AX18" s="156">
        <f>AX6*(Assumptions!B34+Assumptions!B35*3)</f>
        <v/>
      </c>
      <c r="AY18" s="156">
        <f>AY6*(Assumptions!B34+Assumptions!B35*4)</f>
        <v/>
      </c>
      <c r="AZ18" s="156">
        <f>AZ6*(Assumptions!B34+Assumptions!B35*4)</f>
        <v/>
      </c>
      <c r="BA18" s="156">
        <f>BA6*(Assumptions!B34+Assumptions!B35*4)</f>
        <v/>
      </c>
      <c r="BB18" s="156">
        <f>BB6*(Assumptions!B34+Assumptions!B35*4)</f>
        <v/>
      </c>
      <c r="BC18" s="156">
        <f>BC6*(Assumptions!B34+Assumptions!B35*4)</f>
        <v/>
      </c>
      <c r="BD18" s="156">
        <f>BD6*(Assumptions!B34+Assumptions!B35*4)</f>
        <v/>
      </c>
      <c r="BE18" s="156">
        <f>BE6*(Assumptions!B34+Assumptions!B35*4)</f>
        <v/>
      </c>
      <c r="BF18" s="156">
        <f>BF6*(Assumptions!B34+Assumptions!B35*4)</f>
        <v/>
      </c>
      <c r="BG18" s="156">
        <f>BG6*(Assumptions!B34+Assumptions!B35*4)</f>
        <v/>
      </c>
      <c r="BH18" s="156">
        <f>BH6*(Assumptions!B34+Assumptions!B35*4)</f>
        <v/>
      </c>
      <c r="BI18" s="156">
        <f>BI6*(Assumptions!B34+Assumptions!B35*4)</f>
        <v/>
      </c>
      <c r="BJ18" s="156">
        <f>BJ6*(Assumptions!B34+Assumptions!B35*4)</f>
        <v/>
      </c>
      <c r="BL18" s="157">
        <f>C18+D18+E18+F18+G18+H18+I18+J18+K18+L18+M18+N18</f>
        <v/>
      </c>
      <c r="BM18" s="157">
        <f>O18+P18+Q18+R18+S18+T18+U18+V18+W18+X18+Y18+Z18</f>
        <v/>
      </c>
      <c r="BN18" s="157">
        <f>AA18+AB18+AC18+AD18+AE18+AF18+AG18+AH18+AI18+AJ18+AK18+AL18</f>
        <v/>
      </c>
      <c r="BO18" s="157">
        <f>AM18+AN18+AO18+AP18+AQ18+AR18+AS18+AT18+AU18+AV18+AW18+AX18</f>
        <v/>
      </c>
      <c r="BP18" s="157">
        <f>AY18+AZ18+BA18+BB18+BC18+BD18+BE18+BF18+BG18+BH18+BI18+BJ18</f>
        <v/>
      </c>
    </row>
    <row r="19" ht="15" customHeight="1" s="104">
      <c r="A19" s="215" t="inlineStr">
        <is>
          <t xml:space="preserve">    % of Revenue</t>
        </is>
      </c>
      <c r="C19" s="216">
        <f>IF(C6=0,0,C18/C6)</f>
        <v/>
      </c>
      <c r="D19" s="216">
        <f>IF(D6=0,0,D18/D6)</f>
        <v/>
      </c>
      <c r="E19" s="216">
        <f>IF(E6=0,0,E18/E6)</f>
        <v/>
      </c>
      <c r="F19" s="216">
        <f>IF(F6=0,0,F18/F6)</f>
        <v/>
      </c>
      <c r="G19" s="216">
        <f>IF(G6=0,0,G18/G6)</f>
        <v/>
      </c>
      <c r="H19" s="216">
        <f>IF(H6=0,0,H18/H6)</f>
        <v/>
      </c>
      <c r="I19" s="216">
        <f>IF(I6=0,0,I18/I6)</f>
        <v/>
      </c>
      <c r="J19" s="216">
        <f>IF(J6=0,0,J18/J6)</f>
        <v/>
      </c>
      <c r="K19" s="216">
        <f>IF(K6=0,0,K18/K6)</f>
        <v/>
      </c>
      <c r="L19" s="216">
        <f>IF(L6=0,0,L18/L6)</f>
        <v/>
      </c>
      <c r="M19" s="216">
        <f>IF(M6=0,0,M18/M6)</f>
        <v/>
      </c>
      <c r="N19" s="216">
        <f>IF(N6=0,0,N18/N6)</f>
        <v/>
      </c>
      <c r="O19" s="216">
        <f>IF(O6=0,0,O18/O6)</f>
        <v/>
      </c>
      <c r="P19" s="216">
        <f>IF(P6=0,0,P18/P6)</f>
        <v/>
      </c>
      <c r="Q19" s="216">
        <f>IF(Q6=0,0,Q18/Q6)</f>
        <v/>
      </c>
      <c r="R19" s="216">
        <f>IF(R6=0,0,R18/R6)</f>
        <v/>
      </c>
      <c r="S19" s="216">
        <f>IF(S6=0,0,S18/S6)</f>
        <v/>
      </c>
      <c r="T19" s="216">
        <f>IF(T6=0,0,T18/T6)</f>
        <v/>
      </c>
      <c r="U19" s="216">
        <f>IF(U6=0,0,U18/U6)</f>
        <v/>
      </c>
      <c r="V19" s="216">
        <f>IF(V6=0,0,V18/V6)</f>
        <v/>
      </c>
      <c r="W19" s="216">
        <f>IF(W6=0,0,W18/W6)</f>
        <v/>
      </c>
      <c r="X19" s="216">
        <f>IF(X6=0,0,X18/X6)</f>
        <v/>
      </c>
      <c r="Y19" s="216">
        <f>IF(Y6=0,0,Y18/Y6)</f>
        <v/>
      </c>
      <c r="Z19" s="216">
        <f>IF(Z6=0,0,Z18/Z6)</f>
        <v/>
      </c>
      <c r="AA19" s="216">
        <f>IF(AA6=0,0,AA18/AA6)</f>
        <v/>
      </c>
      <c r="AB19" s="216">
        <f>IF(AB6=0,0,AB18/AB6)</f>
        <v/>
      </c>
      <c r="AC19" s="216">
        <f>IF(AC6=0,0,AC18/AC6)</f>
        <v/>
      </c>
      <c r="AD19" s="216">
        <f>IF(AD6=0,0,AD18/AD6)</f>
        <v/>
      </c>
      <c r="AE19" s="216">
        <f>IF(AE6=0,0,AE18/AE6)</f>
        <v/>
      </c>
      <c r="AF19" s="216">
        <f>IF(AF6=0,0,AF18/AF6)</f>
        <v/>
      </c>
      <c r="AG19" s="216">
        <f>IF(AG6=0,0,AG18/AG6)</f>
        <v/>
      </c>
      <c r="AH19" s="216">
        <f>IF(AH6=0,0,AH18/AH6)</f>
        <v/>
      </c>
      <c r="AI19" s="216">
        <f>IF(AI6=0,0,AI18/AI6)</f>
        <v/>
      </c>
      <c r="AJ19" s="216">
        <f>IF(AJ6=0,0,AJ18/AJ6)</f>
        <v/>
      </c>
      <c r="AK19" s="216">
        <f>IF(AK6=0,0,AK18/AK6)</f>
        <v/>
      </c>
      <c r="AL19" s="216">
        <f>IF(AL6=0,0,AL18/AL6)</f>
        <v/>
      </c>
      <c r="AM19" s="216">
        <f>IF(AM6=0,0,AM18/AM6)</f>
        <v/>
      </c>
      <c r="AN19" s="216">
        <f>IF(AN6=0,0,AN18/AN6)</f>
        <v/>
      </c>
      <c r="AO19" s="216">
        <f>IF(AO6=0,0,AO18/AO6)</f>
        <v/>
      </c>
      <c r="AP19" s="216">
        <f>IF(AP6=0,0,AP18/AP6)</f>
        <v/>
      </c>
      <c r="AQ19" s="216">
        <f>IF(AQ6=0,0,AQ18/AQ6)</f>
        <v/>
      </c>
      <c r="AR19" s="216">
        <f>IF(AR6=0,0,AR18/AR6)</f>
        <v/>
      </c>
      <c r="AS19" s="216">
        <f>IF(AS6=0,0,AS18/AS6)</f>
        <v/>
      </c>
      <c r="AT19" s="216">
        <f>IF(AT6=0,0,AT18/AT6)</f>
        <v/>
      </c>
      <c r="AU19" s="216">
        <f>IF(AU6=0,0,AU18/AU6)</f>
        <v/>
      </c>
      <c r="AV19" s="216">
        <f>IF(AV6=0,0,AV18/AV6)</f>
        <v/>
      </c>
      <c r="AW19" s="216">
        <f>IF(AW6=0,0,AW18/AW6)</f>
        <v/>
      </c>
      <c r="AX19" s="216">
        <f>IF(AX6=0,0,AX18/AX6)</f>
        <v/>
      </c>
      <c r="AY19" s="216">
        <f>IF(AY6=0,0,AY18/AY6)</f>
        <v/>
      </c>
      <c r="AZ19" s="216">
        <f>IF(AZ6=0,0,AZ18/AZ6)</f>
        <v/>
      </c>
      <c r="BA19" s="216">
        <f>IF(BA6=0,0,BA18/BA6)</f>
        <v/>
      </c>
      <c r="BB19" s="216">
        <f>IF(BB6=0,0,BB18/BB6)</f>
        <v/>
      </c>
      <c r="BC19" s="216">
        <f>IF(BC6=0,0,BC18/BC6)</f>
        <v/>
      </c>
      <c r="BD19" s="216">
        <f>IF(BD6=0,0,BD18/BD6)</f>
        <v/>
      </c>
      <c r="BE19" s="216">
        <f>IF(BE6=0,0,BE18/BE6)</f>
        <v/>
      </c>
      <c r="BF19" s="216">
        <f>IF(BF6=0,0,BF18/BF6)</f>
        <v/>
      </c>
      <c r="BG19" s="216">
        <f>IF(BG6=0,0,BG18/BG6)</f>
        <v/>
      </c>
      <c r="BH19" s="216">
        <f>IF(BH6=0,0,BH18/BH6)</f>
        <v/>
      </c>
      <c r="BI19" s="216">
        <f>IF(BI6=0,0,BI18/BI6)</f>
        <v/>
      </c>
      <c r="BJ19" s="216">
        <f>IF(BJ6=0,0,BJ18/BJ6)</f>
        <v/>
      </c>
      <c r="BL19" s="217">
        <f>IF((C6+D6+E6+F6+G6+H6+I6+J6+K6+L6+M6+N6)=0,0,(C18+D18+E18+F18+G18+H18+I18+J18+K18+L18+M18+N18)/(C6+D6+E6+F6+G6+H6+I6+J6+K6+L6+M6+N6))</f>
        <v/>
      </c>
      <c r="BM19" s="217">
        <f>IF((O6+P6+Q6+R6+S6+T6+U6+V6+W6+X6+Y6+Z6)=0,0,(O18+P18+Q18+R18+S18+T18+U18+V18+W18+X18+Y18+Z18)/(O6+P6+Q6+R6+S6+T6+U6+V6+W6+X6+Y6+Z6))</f>
        <v/>
      </c>
      <c r="BN19" s="217">
        <f>IF((AA6+AB6+AC6+AD6+AE6+AF6+AG6+AH6+AI6+AJ6+AK6+AL6)=0,0,(AA18+AB18+AC18+AD18+AE18+AF18+AG18+AH18+AI18+AJ18+AK18+AL18)/(AA6+AB6+AC6+AD6+AE6+AF6+AG6+AH6+AI6+AJ6+AK6+AL6))</f>
        <v/>
      </c>
      <c r="BO19" s="217">
        <f>IF((AM6+AN6+AO6+AP6+AQ6+AR6+AS6+AT6+AU6+AV6+AW6+AX6)=0,0,(AM18+AN18+AO18+AP18+AQ18+AR18+AS18+AT18+AU18+AV18+AW18+AX18)/(AM6+AN6+AO6+AP6+AQ6+AR6+AS6+AT6+AU6+AV6+AW6+AX6))</f>
        <v/>
      </c>
      <c r="BP19" s="217">
        <f>IF((AY6+AZ6+BA6+BB6+BC6+BD6+BE6+BF6+BG6+BH6+BI6+BJ6)=0,0,(AY18+AZ18+BA18+BB18+BC18+BD18+BE18+BF18+BG18+BH18+BI18+BJ18)/(AY6+AZ6+BA6+BB6+BC6+BD6+BE6+BF6+BG6+BH6+BI6+BJ6))</f>
        <v/>
      </c>
    </row>
    <row r="20" ht="15" customHeight="1" s="104">
      <c r="A20" s="116" t="inlineStr">
        <is>
          <t>Total Operating Expenses</t>
        </is>
      </c>
      <c r="C20" s="151">
        <f>C8+C10+C12+C14+C16+C18</f>
        <v/>
      </c>
      <c r="D20" s="151">
        <f>D8+D10+D12+D14+D16+D18</f>
        <v/>
      </c>
      <c r="E20" s="151">
        <f>E8+E10+E12+E14+E16+E18</f>
        <v/>
      </c>
      <c r="F20" s="151">
        <f>F8+F10+F12+F14+F16+F18</f>
        <v/>
      </c>
      <c r="G20" s="151">
        <f>G8+G10+G12+G14+G16+G18</f>
        <v/>
      </c>
      <c r="H20" s="151">
        <f>H8+H10+H12+H14+H16+H18</f>
        <v/>
      </c>
      <c r="I20" s="151">
        <f>I8+I10+I12+I14+I16+I18</f>
        <v/>
      </c>
      <c r="J20" s="151">
        <f>J8+J10+J12+J14+J16+J18</f>
        <v/>
      </c>
      <c r="K20" s="151">
        <f>K8+K10+K12+K14+K16+K18</f>
        <v/>
      </c>
      <c r="L20" s="151">
        <f>L8+L10+L12+L14+L16+L18</f>
        <v/>
      </c>
      <c r="M20" s="151">
        <f>M8+M10+M12+M14+M16+M18</f>
        <v/>
      </c>
      <c r="N20" s="151">
        <f>N8+N10+N12+N14+N16+N18</f>
        <v/>
      </c>
      <c r="O20" s="151">
        <f>O8+O10+O12+O14+O16+O18</f>
        <v/>
      </c>
      <c r="P20" s="151">
        <f>P8+P10+P12+P14+P16+P18</f>
        <v/>
      </c>
      <c r="Q20" s="151">
        <f>Q8+Q10+Q12+Q14+Q16+Q18</f>
        <v/>
      </c>
      <c r="R20" s="151">
        <f>R8+R10+R12+R14+R16+R18</f>
        <v/>
      </c>
      <c r="S20" s="151">
        <f>S8+S10+S12+S14+S16+S18</f>
        <v/>
      </c>
      <c r="T20" s="151">
        <f>T8+T10+T12+T14+T16+T18</f>
        <v/>
      </c>
      <c r="U20" s="151">
        <f>U8+U10+U12+U14+U16+U18</f>
        <v/>
      </c>
      <c r="V20" s="151">
        <f>V8+V10+V12+V14+V16+V18</f>
        <v/>
      </c>
      <c r="W20" s="151">
        <f>W8+W10+W12+W14+W16+W18</f>
        <v/>
      </c>
      <c r="X20" s="151">
        <f>X8+X10+X12+X14+X16+X18</f>
        <v/>
      </c>
      <c r="Y20" s="151">
        <f>Y8+Y10+Y12+Y14+Y16+Y18</f>
        <v/>
      </c>
      <c r="Z20" s="151">
        <f>Z8+Z10+Z12+Z14+Z16+Z18</f>
        <v/>
      </c>
      <c r="AA20" s="151">
        <f>AA8+AA10+AA12+AA14+AA16+AA18</f>
        <v/>
      </c>
      <c r="AB20" s="151">
        <f>AB8+AB10+AB12+AB14+AB16+AB18</f>
        <v/>
      </c>
      <c r="AC20" s="151">
        <f>AC8+AC10+AC12+AC14+AC16+AC18</f>
        <v/>
      </c>
      <c r="AD20" s="151">
        <f>AD8+AD10+AD12+AD14+AD16+AD18</f>
        <v/>
      </c>
      <c r="AE20" s="151">
        <f>AE8+AE10+AE12+AE14+AE16+AE18</f>
        <v/>
      </c>
      <c r="AF20" s="151">
        <f>AF8+AF10+AF12+AF14+AF16+AF18</f>
        <v/>
      </c>
      <c r="AG20" s="151">
        <f>AG8+AG10+AG12+AG14+AG16+AG18</f>
        <v/>
      </c>
      <c r="AH20" s="151">
        <f>AH8+AH10+AH12+AH14+AH16+AH18</f>
        <v/>
      </c>
      <c r="AI20" s="151">
        <f>AI8+AI10+AI12+AI14+AI16+AI18</f>
        <v/>
      </c>
      <c r="AJ20" s="151">
        <f>AJ8+AJ10+AJ12+AJ14+AJ16+AJ18</f>
        <v/>
      </c>
      <c r="AK20" s="151">
        <f>AK8+AK10+AK12+AK14+AK16+AK18</f>
        <v/>
      </c>
      <c r="AL20" s="151">
        <f>AL8+AL10+AL12+AL14+AL16+AL18</f>
        <v/>
      </c>
      <c r="AM20" s="151">
        <f>AM8+AM10+AM12+AM14+AM16+AM18</f>
        <v/>
      </c>
      <c r="AN20" s="151">
        <f>AN8+AN10+AN12+AN14+AN16+AN18</f>
        <v/>
      </c>
      <c r="AO20" s="151">
        <f>AO8+AO10+AO12+AO14+AO16+AO18</f>
        <v/>
      </c>
      <c r="AP20" s="151">
        <f>AP8+AP10+AP12+AP14+AP16+AP18</f>
        <v/>
      </c>
      <c r="AQ20" s="151">
        <f>AQ8+AQ10+AQ12+AQ14+AQ16+AQ18</f>
        <v/>
      </c>
      <c r="AR20" s="151">
        <f>AR8+AR10+AR12+AR14+AR16+AR18</f>
        <v/>
      </c>
      <c r="AS20" s="151">
        <f>AS8+AS10+AS12+AS14+AS16+AS18</f>
        <v/>
      </c>
      <c r="AT20" s="151">
        <f>AT8+AT10+AT12+AT14+AT16+AT18</f>
        <v/>
      </c>
      <c r="AU20" s="151">
        <f>AU8+AU10+AU12+AU14+AU16+AU18</f>
        <v/>
      </c>
      <c r="AV20" s="151">
        <f>AV8+AV10+AV12+AV14+AV16+AV18</f>
        <v/>
      </c>
      <c r="AW20" s="151">
        <f>AW8+AW10+AW12+AW14+AW16+AW18</f>
        <v/>
      </c>
      <c r="AX20" s="151">
        <f>AX8+AX10+AX12+AX14+AX16+AX18</f>
        <v/>
      </c>
      <c r="AY20" s="151">
        <f>AY8+AY10+AY12+AY14+AY16+AY18</f>
        <v/>
      </c>
      <c r="AZ20" s="151">
        <f>AZ8+AZ10+AZ12+AZ14+AZ16+AZ18</f>
        <v/>
      </c>
      <c r="BA20" s="151">
        <f>BA8+BA10+BA12+BA14+BA16+BA18</f>
        <v/>
      </c>
      <c r="BB20" s="151">
        <f>BB8+BB10+BB12+BB14+BB16+BB18</f>
        <v/>
      </c>
      <c r="BC20" s="151">
        <f>BC8+BC10+BC12+BC14+BC16+BC18</f>
        <v/>
      </c>
      <c r="BD20" s="151">
        <f>BD8+BD10+BD12+BD14+BD16+BD18</f>
        <v/>
      </c>
      <c r="BE20" s="151">
        <f>BE8+BE10+BE12+BE14+BE16+BE18</f>
        <v/>
      </c>
      <c r="BF20" s="151">
        <f>BF8+BF10+BF12+BF14+BF16+BF18</f>
        <v/>
      </c>
      <c r="BG20" s="151">
        <f>BG8+BG10+BG12+BG14+BG16+BG18</f>
        <v/>
      </c>
      <c r="BH20" s="151">
        <f>BH8+BH10+BH12+BH14+BH16+BH18</f>
        <v/>
      </c>
      <c r="BI20" s="151">
        <f>BI8+BI10+BI12+BI14+BI16+BI18</f>
        <v/>
      </c>
      <c r="BJ20" s="151">
        <f>BJ8+BJ10+BJ12+BJ14+BJ16+BJ18</f>
        <v/>
      </c>
      <c r="BL20" s="152">
        <f>C20+D20+E20+F20+G20+H20+I20+J20+K20+L20+M20+N20</f>
        <v/>
      </c>
      <c r="BM20" s="152">
        <f>O20+P20+Q20+R20+S20+T20+U20+V20+W20+X20+Y20+Z20</f>
        <v/>
      </c>
      <c r="BN20" s="152">
        <f>AA20+AB20+AC20+AD20+AE20+AF20+AG20+AH20+AI20+AJ20+AK20+AL20</f>
        <v/>
      </c>
      <c r="BO20" s="152">
        <f>AM20+AN20+AO20+AP20+AQ20+AR20+AS20+AT20+AU20+AV20+AW20+AX20</f>
        <v/>
      </c>
      <c r="BP20" s="152">
        <f>AY20+AZ20+BA20+BB20+BC20+BD20+BE20+BF20+BG20+BH20+BI20+BJ20</f>
        <v/>
      </c>
    </row>
    <row r="21" ht="15" customHeight="1" s="104">
      <c r="A21" s="106" t="inlineStr">
        <is>
          <t>EBITDA</t>
        </is>
      </c>
    </row>
    <row r="22" ht="15" customHeight="1" s="104">
      <c r="A22" s="116" t="inlineStr">
        <is>
          <t>EBITDA</t>
        </is>
      </c>
      <c r="C22" s="151">
        <f>C6-C20</f>
        <v/>
      </c>
      <c r="D22" s="151">
        <f>D6-D20</f>
        <v/>
      </c>
      <c r="E22" s="151">
        <f>E6-E20</f>
        <v/>
      </c>
      <c r="F22" s="151">
        <f>F6-F20</f>
        <v/>
      </c>
      <c r="G22" s="151">
        <f>G6-G20</f>
        <v/>
      </c>
      <c r="H22" s="151">
        <f>H6-H20</f>
        <v/>
      </c>
      <c r="I22" s="151">
        <f>I6-I20</f>
        <v/>
      </c>
      <c r="J22" s="151">
        <f>J6-J20</f>
        <v/>
      </c>
      <c r="K22" s="151">
        <f>K6-K20</f>
        <v/>
      </c>
      <c r="L22" s="151">
        <f>L6-L20</f>
        <v/>
      </c>
      <c r="M22" s="151">
        <f>M6-M20</f>
        <v/>
      </c>
      <c r="N22" s="151">
        <f>N6-N20</f>
        <v/>
      </c>
      <c r="O22" s="151">
        <f>O6-O20</f>
        <v/>
      </c>
      <c r="P22" s="151">
        <f>P6-P20</f>
        <v/>
      </c>
      <c r="Q22" s="151">
        <f>Q6-Q20</f>
        <v/>
      </c>
      <c r="R22" s="151">
        <f>R6-R20</f>
        <v/>
      </c>
      <c r="S22" s="151">
        <f>S6-S20</f>
        <v/>
      </c>
      <c r="T22" s="151">
        <f>T6-T20</f>
        <v/>
      </c>
      <c r="U22" s="151">
        <f>U6-U20</f>
        <v/>
      </c>
      <c r="V22" s="151">
        <f>V6-V20</f>
        <v/>
      </c>
      <c r="W22" s="151">
        <f>W6-W20</f>
        <v/>
      </c>
      <c r="X22" s="151">
        <f>X6-X20</f>
        <v/>
      </c>
      <c r="Y22" s="151">
        <f>Y6-Y20</f>
        <v/>
      </c>
      <c r="Z22" s="151">
        <f>Z6-Z20</f>
        <v/>
      </c>
      <c r="AA22" s="151">
        <f>AA6-AA20</f>
        <v/>
      </c>
      <c r="AB22" s="151">
        <f>AB6-AB20</f>
        <v/>
      </c>
      <c r="AC22" s="151">
        <f>AC6-AC20</f>
        <v/>
      </c>
      <c r="AD22" s="151">
        <f>AD6-AD20</f>
        <v/>
      </c>
      <c r="AE22" s="151">
        <f>AE6-AE20</f>
        <v/>
      </c>
      <c r="AF22" s="151">
        <f>AF6-AF20</f>
        <v/>
      </c>
      <c r="AG22" s="151">
        <f>AG6-AG20</f>
        <v/>
      </c>
      <c r="AH22" s="151">
        <f>AH6-AH20</f>
        <v/>
      </c>
      <c r="AI22" s="151">
        <f>AI6-AI20</f>
        <v/>
      </c>
      <c r="AJ22" s="151">
        <f>AJ6-AJ20</f>
        <v/>
      </c>
      <c r="AK22" s="151">
        <f>AK6-AK20</f>
        <v/>
      </c>
      <c r="AL22" s="151">
        <f>AL6-AL20</f>
        <v/>
      </c>
      <c r="AM22" s="151">
        <f>AM6-AM20</f>
        <v/>
      </c>
      <c r="AN22" s="151">
        <f>AN6-AN20</f>
        <v/>
      </c>
      <c r="AO22" s="151">
        <f>AO6-AO20</f>
        <v/>
      </c>
      <c r="AP22" s="151">
        <f>AP6-AP20</f>
        <v/>
      </c>
      <c r="AQ22" s="151">
        <f>AQ6-AQ20</f>
        <v/>
      </c>
      <c r="AR22" s="151">
        <f>AR6-AR20</f>
        <v/>
      </c>
      <c r="AS22" s="151">
        <f>AS6-AS20</f>
        <v/>
      </c>
      <c r="AT22" s="151">
        <f>AT6-AT20</f>
        <v/>
      </c>
      <c r="AU22" s="151">
        <f>AU6-AU20</f>
        <v/>
      </c>
      <c r="AV22" s="151">
        <f>AV6-AV20</f>
        <v/>
      </c>
      <c r="AW22" s="151">
        <f>AW6-AW20</f>
        <v/>
      </c>
      <c r="AX22" s="151">
        <f>AX6-AX20</f>
        <v/>
      </c>
      <c r="AY22" s="151">
        <f>AY6-AY20</f>
        <v/>
      </c>
      <c r="AZ22" s="151">
        <f>AZ6-AZ20</f>
        <v/>
      </c>
      <c r="BA22" s="151">
        <f>BA6-BA20</f>
        <v/>
      </c>
      <c r="BB22" s="151">
        <f>BB6-BB20</f>
        <v/>
      </c>
      <c r="BC22" s="151">
        <f>BC6-BC20</f>
        <v/>
      </c>
      <c r="BD22" s="151">
        <f>BD6-BD20</f>
        <v/>
      </c>
      <c r="BE22" s="151">
        <f>BE6-BE20</f>
        <v/>
      </c>
      <c r="BF22" s="151">
        <f>BF6-BF20</f>
        <v/>
      </c>
      <c r="BG22" s="151">
        <f>BG6-BG20</f>
        <v/>
      </c>
      <c r="BH22" s="151">
        <f>BH6-BH20</f>
        <v/>
      </c>
      <c r="BI22" s="151">
        <f>BI6-BI20</f>
        <v/>
      </c>
      <c r="BJ22" s="151">
        <f>BJ6-BJ20</f>
        <v/>
      </c>
      <c r="BL22" s="152">
        <f>C22+D22+E22+F22+G22+H22+I22+J22+K22+L22+M22+N22</f>
        <v/>
      </c>
      <c r="BM22" s="152">
        <f>O22+P22+Q22+R22+S22+T22+U22+V22+W22+X22+Y22+Z22</f>
        <v/>
      </c>
      <c r="BN22" s="152">
        <f>AA22+AB22+AC22+AD22+AE22+AF22+AG22+AH22+AI22+AJ22+AK22+AL22</f>
        <v/>
      </c>
      <c r="BO22" s="152">
        <f>AM22+AN22+AO22+AP22+AQ22+AR22+AS22+AT22+AU22+AV22+AW22+AX22</f>
        <v/>
      </c>
      <c r="BP22" s="152">
        <f>AY22+AZ22+BA22+BB22+BC22+BD22+BE22+BF22+BG22+BH22+BI22+BJ22</f>
        <v/>
      </c>
    </row>
    <row r="23" ht="15" customHeight="1" s="104">
      <c r="A23" s="218" t="inlineStr">
        <is>
          <t xml:space="preserve">    EBITDA Margin %</t>
        </is>
      </c>
      <c r="C23" s="192">
        <f>IF(C6=0,0,C22/C6)</f>
        <v/>
      </c>
      <c r="D23" s="192">
        <f>IF(D6=0,0,D22/D6)</f>
        <v/>
      </c>
      <c r="E23" s="192">
        <f>IF(E6=0,0,E22/E6)</f>
        <v/>
      </c>
      <c r="F23" s="192">
        <f>IF(F6=0,0,F22/F6)</f>
        <v/>
      </c>
      <c r="G23" s="192">
        <f>IF(G6=0,0,G22/G6)</f>
        <v/>
      </c>
      <c r="H23" s="192">
        <f>IF(H6=0,0,H22/H6)</f>
        <v/>
      </c>
      <c r="I23" s="192">
        <f>IF(I6=0,0,I22/I6)</f>
        <v/>
      </c>
      <c r="J23" s="192">
        <f>IF(J6=0,0,J22/J6)</f>
        <v/>
      </c>
      <c r="K23" s="192">
        <f>IF(K6=0,0,K22/K6)</f>
        <v/>
      </c>
      <c r="L23" s="192">
        <f>IF(L6=0,0,L22/L6)</f>
        <v/>
      </c>
      <c r="M23" s="192">
        <f>IF(M6=0,0,M22/M6)</f>
        <v/>
      </c>
      <c r="N23" s="192">
        <f>IF(N6=0,0,N22/N6)</f>
        <v/>
      </c>
      <c r="O23" s="192">
        <f>IF(O6=0,0,O22/O6)</f>
        <v/>
      </c>
      <c r="P23" s="192">
        <f>IF(P6=0,0,P22/P6)</f>
        <v/>
      </c>
      <c r="Q23" s="192">
        <f>IF(Q6=0,0,Q22/Q6)</f>
        <v/>
      </c>
      <c r="R23" s="192">
        <f>IF(R6=0,0,R22/R6)</f>
        <v/>
      </c>
      <c r="S23" s="192">
        <f>IF(S6=0,0,S22/S6)</f>
        <v/>
      </c>
      <c r="T23" s="192">
        <f>IF(T6=0,0,T22/T6)</f>
        <v/>
      </c>
      <c r="U23" s="192">
        <f>IF(U6=0,0,U22/U6)</f>
        <v/>
      </c>
      <c r="V23" s="192">
        <f>IF(V6=0,0,V22/V6)</f>
        <v/>
      </c>
      <c r="W23" s="192">
        <f>IF(W6=0,0,W22/W6)</f>
        <v/>
      </c>
      <c r="X23" s="192">
        <f>IF(X6=0,0,X22/X6)</f>
        <v/>
      </c>
      <c r="Y23" s="192">
        <f>IF(Y6=0,0,Y22/Y6)</f>
        <v/>
      </c>
      <c r="Z23" s="192">
        <f>IF(Z6=0,0,Z22/Z6)</f>
        <v/>
      </c>
      <c r="AA23" s="192">
        <f>IF(AA6=0,0,AA22/AA6)</f>
        <v/>
      </c>
      <c r="AB23" s="192">
        <f>IF(AB6=0,0,AB22/AB6)</f>
        <v/>
      </c>
      <c r="AC23" s="192">
        <f>IF(AC6=0,0,AC22/AC6)</f>
        <v/>
      </c>
      <c r="AD23" s="192">
        <f>IF(AD6=0,0,AD22/AD6)</f>
        <v/>
      </c>
      <c r="AE23" s="192">
        <f>IF(AE6=0,0,AE22/AE6)</f>
        <v/>
      </c>
      <c r="AF23" s="192">
        <f>IF(AF6=0,0,AF22/AF6)</f>
        <v/>
      </c>
      <c r="AG23" s="192">
        <f>IF(AG6=0,0,AG22/AG6)</f>
        <v/>
      </c>
      <c r="AH23" s="192">
        <f>IF(AH6=0,0,AH22/AH6)</f>
        <v/>
      </c>
      <c r="AI23" s="192">
        <f>IF(AI6=0,0,AI22/AI6)</f>
        <v/>
      </c>
      <c r="AJ23" s="192">
        <f>IF(AJ6=0,0,AJ22/AJ6)</f>
        <v/>
      </c>
      <c r="AK23" s="192">
        <f>IF(AK6=0,0,AK22/AK6)</f>
        <v/>
      </c>
      <c r="AL23" s="192">
        <f>IF(AL6=0,0,AL22/AL6)</f>
        <v/>
      </c>
      <c r="AM23" s="192">
        <f>IF(AM6=0,0,AM22/AM6)</f>
        <v/>
      </c>
      <c r="AN23" s="192">
        <f>IF(AN6=0,0,AN22/AN6)</f>
        <v/>
      </c>
      <c r="AO23" s="192">
        <f>IF(AO6=0,0,AO22/AO6)</f>
        <v/>
      </c>
      <c r="AP23" s="192">
        <f>IF(AP6=0,0,AP22/AP6)</f>
        <v/>
      </c>
      <c r="AQ23" s="192">
        <f>IF(AQ6=0,0,AQ22/AQ6)</f>
        <v/>
      </c>
      <c r="AR23" s="192">
        <f>IF(AR6=0,0,AR22/AR6)</f>
        <v/>
      </c>
      <c r="AS23" s="192">
        <f>IF(AS6=0,0,AS22/AS6)</f>
        <v/>
      </c>
      <c r="AT23" s="192">
        <f>IF(AT6=0,0,AT22/AT6)</f>
        <v/>
      </c>
      <c r="AU23" s="192">
        <f>IF(AU6=0,0,AU22/AU6)</f>
        <v/>
      </c>
      <c r="AV23" s="192">
        <f>IF(AV6=0,0,AV22/AV6)</f>
        <v/>
      </c>
      <c r="AW23" s="192">
        <f>IF(AW6=0,0,AW22/AW6)</f>
        <v/>
      </c>
      <c r="AX23" s="192">
        <f>IF(AX6=0,0,AX22/AX6)</f>
        <v/>
      </c>
      <c r="AY23" s="192">
        <f>IF(AY6=0,0,AY22/AY6)</f>
        <v/>
      </c>
      <c r="AZ23" s="192">
        <f>IF(AZ6=0,0,AZ22/AZ6)</f>
        <v/>
      </c>
      <c r="BA23" s="192">
        <f>IF(BA6=0,0,BA22/BA6)</f>
        <v/>
      </c>
      <c r="BB23" s="192">
        <f>IF(BB6=0,0,BB22/BB6)</f>
        <v/>
      </c>
      <c r="BC23" s="192">
        <f>IF(BC6=0,0,BC22/BC6)</f>
        <v/>
      </c>
      <c r="BD23" s="192">
        <f>IF(BD6=0,0,BD22/BD6)</f>
        <v/>
      </c>
      <c r="BE23" s="192">
        <f>IF(BE6=0,0,BE22/BE6)</f>
        <v/>
      </c>
      <c r="BF23" s="192">
        <f>IF(BF6=0,0,BF22/BF6)</f>
        <v/>
      </c>
      <c r="BG23" s="192">
        <f>IF(BG6=0,0,BG22/BG6)</f>
        <v/>
      </c>
      <c r="BH23" s="192">
        <f>IF(BH6=0,0,BH22/BH6)</f>
        <v/>
      </c>
      <c r="BI23" s="192">
        <f>IF(BI6=0,0,BI22/BI6)</f>
        <v/>
      </c>
      <c r="BJ23" s="192">
        <f>IF(BJ6=0,0,BJ22/BJ6)</f>
        <v/>
      </c>
      <c r="BL23" s="219">
        <f>IF((C6+D6+E6+F6+G6+H6+I6+J6+K6+L6+M6+N6)=0,0,(C22+D22+E22+F22+G22+H22+I22+J22+K22+L22+M22+N22)/(C6+D6+E6+F6+G6+H6+I6+J6+K6+L6+M6+N6))</f>
        <v/>
      </c>
      <c r="BM23" s="219">
        <f>IF((O6+P6+Q6+R6+S6+T6+U6+V6+W6+X6+Y6+Z6)=0,0,(O22+P22+Q22+R22+S22+T22+U22+V22+W22+X22+Y22+Z22)/(O6+P6+Q6+R6+S6+T6+U6+V6+W6+X6+Y6+Z6))</f>
        <v/>
      </c>
      <c r="BN23" s="219">
        <f>IF((AA6+AB6+AC6+AD6+AE6+AF6+AG6+AH6+AI6+AJ6+AK6+AL6)=0,0,(AA22+AB22+AC22+AD22+AE22+AF22+AG22+AH22+AI22+AJ22+AK22+AL22)/(AA6+AB6+AC6+AD6+AE6+AF6+AG6+AH6+AI6+AJ6+AK6+AL6))</f>
        <v/>
      </c>
      <c r="BO23" s="219">
        <f>IF((AM6+AN6+AO6+AP6+AQ6+AR6+AS6+AT6+AU6+AV6+AW6+AX6)=0,0,(AM22+AN22+AO22+AP22+AQ22+AR22+AS22+AT22+AU22+AV22+AW22+AX22)/(AM6+AN6+AO6+AP6+AQ6+AR6+AS6+AT6+AU6+AV6+AW6+AX6))</f>
        <v/>
      </c>
      <c r="BP23" s="219">
        <f>IF((AY6+AZ6+BA6+BB6+BC6+BD6+BE6+BF6+BG6+BH6+BI6+BJ6)=0,0,(AY22+AZ22+BA22+BB22+BC22+BD22+BE22+BF22+BG22+BH22+BI22+BJ22)/(AY6+AZ6+BA6+BB6+BC6+BD6+BE6+BF6+BG6+BH6+BI6+BJ6))</f>
        <v/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14.xml><?xml version="1.0" encoding="utf-8"?>
<worksheet xmlns="http://schemas.openxmlformats.org/spreadsheetml/2006/main">
  <sheetPr filterMode="0">
    <tabColor rgb="FF5B9BD5"/>
    <outlinePr summaryBelow="1" summaryRight="1"/>
    <pageSetUpPr fitToPage="0"/>
  </sheetPr>
  <dimension ref="A1:BP2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baseColWidth="8" defaultColWidth="8.71484375" defaultRowHeight="15" zeroHeight="0" outlineLevelRow="0"/>
  <cols>
    <col width="38" customWidth="1" style="103" min="1" max="1"/>
    <col width="9" customWidth="1" style="103" min="3" max="62"/>
    <col width="11" customWidth="1" style="103" min="64" max="68"/>
  </cols>
  <sheetData>
    <row r="1" ht="19.5" customHeight="1" s="104">
      <c r="A1" s="105" t="inlineStr">
        <is>
          <t>Add-On 6 – Monthly P&amp;L ($mm)</t>
        </is>
      </c>
    </row>
    <row r="3" ht="15" customHeight="1" s="104">
      <c r="A3" s="116" t="inlineStr">
        <is>
          <t>($mm)</t>
        </is>
      </c>
      <c r="C3" s="149" t="inlineStr">
        <is>
          <t>Oct-26</t>
        </is>
      </c>
      <c r="D3" s="149" t="inlineStr">
        <is>
          <t>Nov-26</t>
        </is>
      </c>
      <c r="E3" s="149" t="inlineStr">
        <is>
          <t>Dec-26</t>
        </is>
      </c>
      <c r="F3" s="149" t="inlineStr">
        <is>
          <t>Jan-27</t>
        </is>
      </c>
      <c r="G3" s="149" t="inlineStr">
        <is>
          <t>Feb-27</t>
        </is>
      </c>
      <c r="H3" s="149" t="inlineStr">
        <is>
          <t>Mar-27</t>
        </is>
      </c>
      <c r="I3" s="149" t="inlineStr">
        <is>
          <t>Apr-27</t>
        </is>
      </c>
      <c r="J3" s="149" t="inlineStr">
        <is>
          <t>May-27</t>
        </is>
      </c>
      <c r="K3" s="149" t="inlineStr">
        <is>
          <t>Jun-27</t>
        </is>
      </c>
      <c r="L3" s="149" t="inlineStr">
        <is>
          <t>Jul-27</t>
        </is>
      </c>
      <c r="M3" s="149" t="inlineStr">
        <is>
          <t>Aug-27</t>
        </is>
      </c>
      <c r="N3" s="149" t="inlineStr">
        <is>
          <t>Sep-27</t>
        </is>
      </c>
      <c r="O3" s="149" t="inlineStr">
        <is>
          <t>Oct-27</t>
        </is>
      </c>
      <c r="P3" s="149" t="inlineStr">
        <is>
          <t>Nov-27</t>
        </is>
      </c>
      <c r="Q3" s="149" t="inlineStr">
        <is>
          <t>Dec-27</t>
        </is>
      </c>
      <c r="R3" s="149" t="inlineStr">
        <is>
          <t>Jan-28</t>
        </is>
      </c>
      <c r="S3" s="149" t="inlineStr">
        <is>
          <t>Feb-28</t>
        </is>
      </c>
      <c r="T3" s="149" t="inlineStr">
        <is>
          <t>Mar-28</t>
        </is>
      </c>
      <c r="U3" s="149" t="inlineStr">
        <is>
          <t>Apr-28</t>
        </is>
      </c>
      <c r="V3" s="149" t="inlineStr">
        <is>
          <t>May-28</t>
        </is>
      </c>
      <c r="W3" s="149" t="inlineStr">
        <is>
          <t>Jun-28</t>
        </is>
      </c>
      <c r="X3" s="149" t="inlineStr">
        <is>
          <t>Jul-28</t>
        </is>
      </c>
      <c r="Y3" s="149" t="inlineStr">
        <is>
          <t>Aug-28</t>
        </is>
      </c>
      <c r="Z3" s="149" t="inlineStr">
        <is>
          <t>Sep-28</t>
        </is>
      </c>
      <c r="AA3" s="149" t="inlineStr">
        <is>
          <t>Oct-28</t>
        </is>
      </c>
      <c r="AB3" s="149" t="inlineStr">
        <is>
          <t>Nov-28</t>
        </is>
      </c>
      <c r="AC3" s="149" t="inlineStr">
        <is>
          <t>Dec-28</t>
        </is>
      </c>
      <c r="AD3" s="149" t="inlineStr">
        <is>
          <t>Jan-29</t>
        </is>
      </c>
      <c r="AE3" s="149" t="inlineStr">
        <is>
          <t>Feb-29</t>
        </is>
      </c>
      <c r="AF3" s="149" t="inlineStr">
        <is>
          <t>Mar-29</t>
        </is>
      </c>
      <c r="AG3" s="149" t="inlineStr">
        <is>
          <t>Apr-29</t>
        </is>
      </c>
      <c r="AH3" s="149" t="inlineStr">
        <is>
          <t>May-29</t>
        </is>
      </c>
      <c r="AI3" s="149" t="inlineStr">
        <is>
          <t>Jun-29</t>
        </is>
      </c>
      <c r="AJ3" s="149" t="inlineStr">
        <is>
          <t>Jul-29</t>
        </is>
      </c>
      <c r="AK3" s="149" t="inlineStr">
        <is>
          <t>Aug-29</t>
        </is>
      </c>
      <c r="AL3" s="149" t="inlineStr">
        <is>
          <t>Sep-29</t>
        </is>
      </c>
      <c r="AM3" s="149" t="inlineStr">
        <is>
          <t>Oct-29</t>
        </is>
      </c>
      <c r="AN3" s="149" t="inlineStr">
        <is>
          <t>Nov-29</t>
        </is>
      </c>
      <c r="AO3" s="149" t="inlineStr">
        <is>
          <t>Dec-29</t>
        </is>
      </c>
      <c r="AP3" s="149" t="inlineStr">
        <is>
          <t>Jan-30</t>
        </is>
      </c>
      <c r="AQ3" s="149" t="inlineStr">
        <is>
          <t>Feb-30</t>
        </is>
      </c>
      <c r="AR3" s="149" t="inlineStr">
        <is>
          <t>Mar-30</t>
        </is>
      </c>
      <c r="AS3" s="149" t="inlineStr">
        <is>
          <t>Apr-30</t>
        </is>
      </c>
      <c r="AT3" s="149" t="inlineStr">
        <is>
          <t>May-30</t>
        </is>
      </c>
      <c r="AU3" s="149" t="inlineStr">
        <is>
          <t>Jun-30</t>
        </is>
      </c>
      <c r="AV3" s="149" t="inlineStr">
        <is>
          <t>Jul-30</t>
        </is>
      </c>
      <c r="AW3" s="149" t="inlineStr">
        <is>
          <t>Aug-30</t>
        </is>
      </c>
      <c r="AX3" s="149" t="inlineStr">
        <is>
          <t>Sep-30</t>
        </is>
      </c>
      <c r="AY3" s="149" t="inlineStr">
        <is>
          <t>Oct-30</t>
        </is>
      </c>
      <c r="AZ3" s="149" t="inlineStr">
        <is>
          <t>Nov-30</t>
        </is>
      </c>
      <c r="BA3" s="149" t="inlineStr">
        <is>
          <t>Dec-30</t>
        </is>
      </c>
      <c r="BB3" s="149" t="inlineStr">
        <is>
          <t>Jan-31</t>
        </is>
      </c>
      <c r="BC3" s="149" t="inlineStr">
        <is>
          <t>Feb-31</t>
        </is>
      </c>
      <c r="BD3" s="149" t="inlineStr">
        <is>
          <t>Mar-31</t>
        </is>
      </c>
      <c r="BE3" s="149" t="inlineStr">
        <is>
          <t>Apr-31</t>
        </is>
      </c>
      <c r="BF3" s="149" t="inlineStr">
        <is>
          <t>May-31</t>
        </is>
      </c>
      <c r="BG3" s="149" t="inlineStr">
        <is>
          <t>Jun-31</t>
        </is>
      </c>
      <c r="BH3" s="149" t="inlineStr">
        <is>
          <t>Jul-31</t>
        </is>
      </c>
      <c r="BI3" s="149" t="inlineStr">
        <is>
          <t>Aug-31</t>
        </is>
      </c>
      <c r="BJ3" s="149" t="inlineStr">
        <is>
          <t>Sep-31</t>
        </is>
      </c>
      <c r="BL3" s="150" t="inlineStr">
        <is>
          <t>FY1</t>
        </is>
      </c>
      <c r="BM3" s="150" t="inlineStr">
        <is>
          <t>FY2</t>
        </is>
      </c>
      <c r="BN3" s="150" t="inlineStr">
        <is>
          <t>FY3</t>
        </is>
      </c>
      <c r="BO3" s="150" t="inlineStr">
        <is>
          <t>FY4</t>
        </is>
      </c>
      <c r="BP3" s="150" t="inlineStr">
        <is>
          <t>FY5</t>
        </is>
      </c>
    </row>
    <row r="4" ht="15" customHeight="1" s="104">
      <c r="A4" s="213" t="inlineStr">
        <is>
          <t>Active (1=Yes)</t>
        </is>
      </c>
      <c r="C4" s="220">
        <f>IF(Assumptions!B56="",0,IF(IFERROR(DATEVALUE(TEXT(Assumptions!B56,"MM/DD/YYYY")),0)&lt;=DATE(2026,10,31),1,0))</f>
        <v/>
      </c>
      <c r="D4" s="220">
        <f>IF(Assumptions!B56="",0,IF(IFERROR(DATEVALUE(TEXT(Assumptions!B56,"MM/DD/YYYY")),0)&lt;=DATE(2026,11,30),1,0))</f>
        <v/>
      </c>
      <c r="E4" s="220">
        <f>IF(Assumptions!B56="",0,IF(IFERROR(DATEVALUE(TEXT(Assumptions!B56,"MM/DD/YYYY")),0)&lt;=DATE(2026,12,31),1,0))</f>
        <v/>
      </c>
      <c r="F4" s="220">
        <f>IF(Assumptions!B56="",0,IF(IFERROR(DATEVALUE(TEXT(Assumptions!B56,"MM/DD/YYYY")),0)&lt;=DATE(2027,1,31),1,0))</f>
        <v/>
      </c>
      <c r="G4" s="220">
        <f>IF(Assumptions!B56="",0,IF(IFERROR(DATEVALUE(TEXT(Assumptions!B56,"MM/DD/YYYY")),0)&lt;=DATE(2027,2,28),1,0))</f>
        <v/>
      </c>
      <c r="H4" s="220">
        <f>IF(Assumptions!B56="",0,IF(IFERROR(DATEVALUE(TEXT(Assumptions!B56,"MM/DD/YYYY")),0)&lt;=DATE(2027,3,31),1,0))</f>
        <v/>
      </c>
      <c r="I4" s="220">
        <f>IF(Assumptions!B56="",0,IF(IFERROR(DATEVALUE(TEXT(Assumptions!B56,"MM/DD/YYYY")),0)&lt;=DATE(2027,4,30),1,0))</f>
        <v/>
      </c>
      <c r="J4" s="220">
        <f>IF(Assumptions!B56="",0,IF(IFERROR(DATEVALUE(TEXT(Assumptions!B56,"MM/DD/YYYY")),0)&lt;=DATE(2027,5,31),1,0))</f>
        <v/>
      </c>
      <c r="K4" s="220">
        <f>IF(Assumptions!B56="",0,IF(IFERROR(DATEVALUE(TEXT(Assumptions!B56,"MM/DD/YYYY")),0)&lt;=DATE(2027,6,30),1,0))</f>
        <v/>
      </c>
      <c r="L4" s="220">
        <f>IF(Assumptions!B56="",0,IF(IFERROR(DATEVALUE(TEXT(Assumptions!B56,"MM/DD/YYYY")),0)&lt;=DATE(2027,7,31),1,0))</f>
        <v/>
      </c>
      <c r="M4" s="220">
        <f>IF(Assumptions!B56="",0,IF(IFERROR(DATEVALUE(TEXT(Assumptions!B56,"MM/DD/YYYY")),0)&lt;=DATE(2027,8,31),1,0))</f>
        <v/>
      </c>
      <c r="N4" s="220">
        <f>IF(Assumptions!B56="",0,IF(IFERROR(DATEVALUE(TEXT(Assumptions!B56,"MM/DD/YYYY")),0)&lt;=DATE(2027,9,30),1,0))</f>
        <v/>
      </c>
      <c r="O4" s="220">
        <f>IF(Assumptions!B56="",0,IF(IFERROR(DATEVALUE(TEXT(Assumptions!B56,"MM/DD/YYYY")),0)&lt;=DATE(2027,10,31),1,0))</f>
        <v/>
      </c>
      <c r="P4" s="220">
        <f>IF(Assumptions!B56="",0,IF(IFERROR(DATEVALUE(TEXT(Assumptions!B56,"MM/DD/YYYY")),0)&lt;=DATE(2027,11,30),1,0))</f>
        <v/>
      </c>
      <c r="Q4" s="220">
        <f>IF(Assumptions!B56="",0,IF(IFERROR(DATEVALUE(TEXT(Assumptions!B56,"MM/DD/YYYY")),0)&lt;=DATE(2027,12,31),1,0))</f>
        <v/>
      </c>
      <c r="R4" s="220">
        <f>IF(Assumptions!B56="",0,IF(IFERROR(DATEVALUE(TEXT(Assumptions!B56,"MM/DD/YYYY")),0)&lt;=DATE(2028,1,31),1,0))</f>
        <v/>
      </c>
      <c r="S4" s="220">
        <f>IF(Assumptions!B56="",0,IF(IFERROR(DATEVALUE(TEXT(Assumptions!B56,"MM/DD/YYYY")),0)&lt;=DATE(2028,2,29),1,0))</f>
        <v/>
      </c>
      <c r="T4" s="220">
        <f>IF(Assumptions!B56="",0,IF(IFERROR(DATEVALUE(TEXT(Assumptions!B56,"MM/DD/YYYY")),0)&lt;=DATE(2028,3,31),1,0))</f>
        <v/>
      </c>
      <c r="U4" s="220">
        <f>IF(Assumptions!B56="",0,IF(IFERROR(DATEVALUE(TEXT(Assumptions!B56,"MM/DD/YYYY")),0)&lt;=DATE(2028,4,30),1,0))</f>
        <v/>
      </c>
      <c r="V4" s="220">
        <f>IF(Assumptions!B56="",0,IF(IFERROR(DATEVALUE(TEXT(Assumptions!B56,"MM/DD/YYYY")),0)&lt;=DATE(2028,5,31),1,0))</f>
        <v/>
      </c>
      <c r="W4" s="220">
        <f>IF(Assumptions!B56="",0,IF(IFERROR(DATEVALUE(TEXT(Assumptions!B56,"MM/DD/YYYY")),0)&lt;=DATE(2028,6,30),1,0))</f>
        <v/>
      </c>
      <c r="X4" s="220">
        <f>IF(Assumptions!B56="",0,IF(IFERROR(DATEVALUE(TEXT(Assumptions!B56,"MM/DD/YYYY")),0)&lt;=DATE(2028,7,31),1,0))</f>
        <v/>
      </c>
      <c r="Y4" s="220">
        <f>IF(Assumptions!B56="",0,IF(IFERROR(DATEVALUE(TEXT(Assumptions!B56,"MM/DD/YYYY")),0)&lt;=DATE(2028,8,31),1,0))</f>
        <v/>
      </c>
      <c r="Z4" s="220">
        <f>IF(Assumptions!B56="",0,IF(IFERROR(DATEVALUE(TEXT(Assumptions!B56,"MM/DD/YYYY")),0)&lt;=DATE(2028,9,30),1,0))</f>
        <v/>
      </c>
      <c r="AA4" s="220">
        <f>IF(Assumptions!B56="",0,IF(IFERROR(DATEVALUE(TEXT(Assumptions!B56,"MM/DD/YYYY")),0)&lt;=DATE(2028,10,31),1,0))</f>
        <v/>
      </c>
      <c r="AB4" s="220">
        <f>IF(Assumptions!B56="",0,IF(IFERROR(DATEVALUE(TEXT(Assumptions!B56,"MM/DD/YYYY")),0)&lt;=DATE(2028,11,30),1,0))</f>
        <v/>
      </c>
      <c r="AC4" s="220">
        <f>IF(Assumptions!B56="",0,IF(IFERROR(DATEVALUE(TEXT(Assumptions!B56,"MM/DD/YYYY")),0)&lt;=DATE(2028,12,31),1,0))</f>
        <v/>
      </c>
      <c r="AD4" s="220">
        <f>IF(Assumptions!B56="",0,IF(IFERROR(DATEVALUE(TEXT(Assumptions!B56,"MM/DD/YYYY")),0)&lt;=DATE(2029,1,31),1,0))</f>
        <v/>
      </c>
      <c r="AE4" s="220">
        <f>IF(Assumptions!B56="",0,IF(IFERROR(DATEVALUE(TEXT(Assumptions!B56,"MM/DD/YYYY")),0)&lt;=DATE(2029,2,28),1,0))</f>
        <v/>
      </c>
      <c r="AF4" s="220">
        <f>IF(Assumptions!B56="",0,IF(IFERROR(DATEVALUE(TEXT(Assumptions!B56,"MM/DD/YYYY")),0)&lt;=DATE(2029,3,31),1,0))</f>
        <v/>
      </c>
      <c r="AG4" s="220">
        <f>IF(Assumptions!B56="",0,IF(IFERROR(DATEVALUE(TEXT(Assumptions!B56,"MM/DD/YYYY")),0)&lt;=DATE(2029,4,30),1,0))</f>
        <v/>
      </c>
      <c r="AH4" s="220">
        <f>IF(Assumptions!B56="",0,IF(IFERROR(DATEVALUE(TEXT(Assumptions!B56,"MM/DD/YYYY")),0)&lt;=DATE(2029,5,31),1,0))</f>
        <v/>
      </c>
      <c r="AI4" s="220">
        <f>IF(Assumptions!B56="",0,IF(IFERROR(DATEVALUE(TEXT(Assumptions!B56,"MM/DD/YYYY")),0)&lt;=DATE(2029,6,30),1,0))</f>
        <v/>
      </c>
      <c r="AJ4" s="220">
        <f>IF(Assumptions!B56="",0,IF(IFERROR(DATEVALUE(TEXT(Assumptions!B56,"MM/DD/YYYY")),0)&lt;=DATE(2029,7,31),1,0))</f>
        <v/>
      </c>
      <c r="AK4" s="220">
        <f>IF(Assumptions!B56="",0,IF(IFERROR(DATEVALUE(TEXT(Assumptions!B56,"MM/DD/YYYY")),0)&lt;=DATE(2029,8,31),1,0))</f>
        <v/>
      </c>
      <c r="AL4" s="220">
        <f>IF(Assumptions!B56="",0,IF(IFERROR(DATEVALUE(TEXT(Assumptions!B56,"MM/DD/YYYY")),0)&lt;=DATE(2029,9,30),1,0))</f>
        <v/>
      </c>
      <c r="AM4" s="220">
        <f>IF(Assumptions!B56="",0,IF(IFERROR(DATEVALUE(TEXT(Assumptions!B56,"MM/DD/YYYY")),0)&lt;=DATE(2029,10,31),1,0))</f>
        <v/>
      </c>
      <c r="AN4" s="220">
        <f>IF(Assumptions!B56="",0,IF(IFERROR(DATEVALUE(TEXT(Assumptions!B56,"MM/DD/YYYY")),0)&lt;=DATE(2029,11,30),1,0))</f>
        <v/>
      </c>
      <c r="AO4" s="220">
        <f>IF(Assumptions!B56="",0,IF(IFERROR(DATEVALUE(TEXT(Assumptions!B56,"MM/DD/YYYY")),0)&lt;=DATE(2029,12,31),1,0))</f>
        <v/>
      </c>
      <c r="AP4" s="220">
        <f>IF(Assumptions!B56="",0,IF(IFERROR(DATEVALUE(TEXT(Assumptions!B56,"MM/DD/YYYY")),0)&lt;=DATE(2030,1,31),1,0))</f>
        <v/>
      </c>
      <c r="AQ4" s="220">
        <f>IF(Assumptions!B56="",0,IF(IFERROR(DATEVALUE(TEXT(Assumptions!B56,"MM/DD/YYYY")),0)&lt;=DATE(2030,2,28),1,0))</f>
        <v/>
      </c>
      <c r="AR4" s="220">
        <f>IF(Assumptions!B56="",0,IF(IFERROR(DATEVALUE(TEXT(Assumptions!B56,"MM/DD/YYYY")),0)&lt;=DATE(2030,3,31),1,0))</f>
        <v/>
      </c>
      <c r="AS4" s="220">
        <f>IF(Assumptions!B56="",0,IF(IFERROR(DATEVALUE(TEXT(Assumptions!B56,"MM/DD/YYYY")),0)&lt;=DATE(2030,4,30),1,0))</f>
        <v/>
      </c>
      <c r="AT4" s="220">
        <f>IF(Assumptions!B56="",0,IF(IFERROR(DATEVALUE(TEXT(Assumptions!B56,"MM/DD/YYYY")),0)&lt;=DATE(2030,5,31),1,0))</f>
        <v/>
      </c>
      <c r="AU4" s="220">
        <f>IF(Assumptions!B56="",0,IF(IFERROR(DATEVALUE(TEXT(Assumptions!B56,"MM/DD/YYYY")),0)&lt;=DATE(2030,6,30),1,0))</f>
        <v/>
      </c>
      <c r="AV4" s="220">
        <f>IF(Assumptions!B56="",0,IF(IFERROR(DATEVALUE(TEXT(Assumptions!B56,"MM/DD/YYYY")),0)&lt;=DATE(2030,7,31),1,0))</f>
        <v/>
      </c>
      <c r="AW4" s="220">
        <f>IF(Assumptions!B56="",0,IF(IFERROR(DATEVALUE(TEXT(Assumptions!B56,"MM/DD/YYYY")),0)&lt;=DATE(2030,8,31),1,0))</f>
        <v/>
      </c>
      <c r="AX4" s="220">
        <f>IF(Assumptions!B56="",0,IF(IFERROR(DATEVALUE(TEXT(Assumptions!B56,"MM/DD/YYYY")),0)&lt;=DATE(2030,9,30),1,0))</f>
        <v/>
      </c>
      <c r="AY4" s="220">
        <f>IF(Assumptions!B56="",0,IF(IFERROR(DATEVALUE(TEXT(Assumptions!B56,"MM/DD/YYYY")),0)&lt;=DATE(2030,10,31),1,0))</f>
        <v/>
      </c>
      <c r="AZ4" s="220">
        <f>IF(Assumptions!B56="",0,IF(IFERROR(DATEVALUE(TEXT(Assumptions!B56,"MM/DD/YYYY")),0)&lt;=DATE(2030,11,30),1,0))</f>
        <v/>
      </c>
      <c r="BA4" s="220">
        <f>IF(Assumptions!B56="",0,IF(IFERROR(DATEVALUE(TEXT(Assumptions!B56,"MM/DD/YYYY")),0)&lt;=DATE(2030,12,31),1,0))</f>
        <v/>
      </c>
      <c r="BB4" s="220">
        <f>IF(Assumptions!B56="",0,IF(IFERROR(DATEVALUE(TEXT(Assumptions!B56,"MM/DD/YYYY")),0)&lt;=DATE(2031,1,31),1,0))</f>
        <v/>
      </c>
      <c r="BC4" s="220">
        <f>IF(Assumptions!B56="",0,IF(IFERROR(DATEVALUE(TEXT(Assumptions!B56,"MM/DD/YYYY")),0)&lt;=DATE(2031,2,28),1,0))</f>
        <v/>
      </c>
      <c r="BD4" s="220">
        <f>IF(Assumptions!B56="",0,IF(IFERROR(DATEVALUE(TEXT(Assumptions!B56,"MM/DD/YYYY")),0)&lt;=DATE(2031,3,31),1,0))</f>
        <v/>
      </c>
      <c r="BE4" s="220">
        <f>IF(Assumptions!B56="",0,IF(IFERROR(DATEVALUE(TEXT(Assumptions!B56,"MM/DD/YYYY")),0)&lt;=DATE(2031,4,30),1,0))</f>
        <v/>
      </c>
      <c r="BF4" s="220">
        <f>IF(Assumptions!B56="",0,IF(IFERROR(DATEVALUE(TEXT(Assumptions!B56,"MM/DD/YYYY")),0)&lt;=DATE(2031,5,31),1,0))</f>
        <v/>
      </c>
      <c r="BG4" s="220">
        <f>IF(Assumptions!B56="",0,IF(IFERROR(DATEVALUE(TEXT(Assumptions!B56,"MM/DD/YYYY")),0)&lt;=DATE(2031,6,30),1,0))</f>
        <v/>
      </c>
      <c r="BH4" s="220">
        <f>IF(Assumptions!B56="",0,IF(IFERROR(DATEVALUE(TEXT(Assumptions!B56,"MM/DD/YYYY")),0)&lt;=DATE(2031,7,31),1,0))</f>
        <v/>
      </c>
      <c r="BI4" s="220">
        <f>IF(Assumptions!B56="",0,IF(IFERROR(DATEVALUE(TEXT(Assumptions!B56,"MM/DD/YYYY")),0)&lt;=DATE(2031,8,31),1,0))</f>
        <v/>
      </c>
      <c r="BJ4" s="220">
        <f>IF(Assumptions!B56="",0,IF(IFERROR(DATEVALUE(TEXT(Assumptions!B56,"MM/DD/YYYY")),0)&lt;=DATE(2031,9,30),1,0))</f>
        <v/>
      </c>
    </row>
    <row r="5" ht="15" customHeight="1" s="104">
      <c r="A5" s="106" t="inlineStr">
        <is>
          <t>REVENUE</t>
        </is>
      </c>
    </row>
    <row r="6" ht="15" customHeight="1" s="104">
      <c r="A6" s="116" t="inlineStr">
        <is>
          <t>Monthly Revenue</t>
        </is>
      </c>
      <c r="C6" s="151">
        <f>IF(C4=0,0,(Assumptions!C56/12))</f>
        <v/>
      </c>
      <c r="D6" s="151">
        <f>IF(D4=0,0,(Assumptions!C56/12)*POWER(1+Assumptions!B17,1/12))</f>
        <v/>
      </c>
      <c r="E6" s="151">
        <f>IF(E4=0,0,(Assumptions!C56/12)*POWER(1+Assumptions!B17,2/12))</f>
        <v/>
      </c>
      <c r="F6" s="151">
        <f>IF(F4=0,0,(Assumptions!C56/12)*POWER(1+Assumptions!B17,3/12))</f>
        <v/>
      </c>
      <c r="G6" s="151">
        <f>IF(G4=0,0,(Assumptions!C56/12)*POWER(1+Assumptions!B17,4/12))</f>
        <v/>
      </c>
      <c r="H6" s="151">
        <f>IF(H4=0,0,(Assumptions!C56/12)*POWER(1+Assumptions!B17,5/12))</f>
        <v/>
      </c>
      <c r="I6" s="151">
        <f>IF(I4=0,0,(Assumptions!C56/12)*POWER(1+Assumptions!B17,6/12))</f>
        <v/>
      </c>
      <c r="J6" s="151">
        <f>IF(J4=0,0,(Assumptions!C56/12)*POWER(1+Assumptions!B17,7/12))</f>
        <v/>
      </c>
      <c r="K6" s="151">
        <f>IF(K4=0,0,(Assumptions!C56/12)*POWER(1+Assumptions!B17,8/12))</f>
        <v/>
      </c>
      <c r="L6" s="151">
        <f>IF(L4=0,0,(Assumptions!C56/12)*POWER(1+Assumptions!B17,9/12))</f>
        <v/>
      </c>
      <c r="M6" s="151">
        <f>IF(M4=0,0,(Assumptions!C56/12)*POWER(1+Assumptions!B17,10/12))</f>
        <v/>
      </c>
      <c r="N6" s="151">
        <f>IF(N4=0,0,(Assumptions!C56/12)*POWER(1+Assumptions!B17,11/12))</f>
        <v/>
      </c>
      <c r="O6" s="151">
        <f>IF(O4=0,0,(Assumptions!C56*(1+Assumptions!B17)/12))</f>
        <v/>
      </c>
      <c r="P6" s="151">
        <f>IF(P4=0,0,(Assumptions!C56*(1+Assumptions!B17)/12)*POWER(1+Assumptions!B18,1/12))</f>
        <v/>
      </c>
      <c r="Q6" s="151">
        <f>IF(Q4=0,0,(Assumptions!C56*(1+Assumptions!B17)/12)*POWER(1+Assumptions!B18,2/12))</f>
        <v/>
      </c>
      <c r="R6" s="151">
        <f>IF(R4=0,0,(Assumptions!C56*(1+Assumptions!B17)/12)*POWER(1+Assumptions!B18,3/12))</f>
        <v/>
      </c>
      <c r="S6" s="151">
        <f>IF(S4=0,0,(Assumptions!C56*(1+Assumptions!B17)/12)*POWER(1+Assumptions!B18,4/12))</f>
        <v/>
      </c>
      <c r="T6" s="151">
        <f>IF(T4=0,0,(Assumptions!C56*(1+Assumptions!B17)/12)*POWER(1+Assumptions!B18,5/12))</f>
        <v/>
      </c>
      <c r="U6" s="151">
        <f>IF(U4=0,0,(Assumptions!C56*(1+Assumptions!B17)/12)*POWER(1+Assumptions!B18,6/12))</f>
        <v/>
      </c>
      <c r="V6" s="151">
        <f>IF(V4=0,0,(Assumptions!C56*(1+Assumptions!B17)/12)*POWER(1+Assumptions!B18,7/12))</f>
        <v/>
      </c>
      <c r="W6" s="151">
        <f>IF(W4=0,0,(Assumptions!C56*(1+Assumptions!B17)/12)*POWER(1+Assumptions!B18,8/12))</f>
        <v/>
      </c>
      <c r="X6" s="151">
        <f>IF(X4=0,0,(Assumptions!C56*(1+Assumptions!B17)/12)*POWER(1+Assumptions!B18,9/12))</f>
        <v/>
      </c>
      <c r="Y6" s="151">
        <f>IF(Y4=0,0,(Assumptions!C56*(1+Assumptions!B17)/12)*POWER(1+Assumptions!B18,10/12))</f>
        <v/>
      </c>
      <c r="Z6" s="151">
        <f>IF(Z4=0,0,(Assumptions!C56*(1+Assumptions!B17)/12)*POWER(1+Assumptions!B18,11/12))</f>
        <v/>
      </c>
      <c r="AA6" s="151">
        <f>IF(AA4=0,0,(Assumptions!C56*(1+Assumptions!B17)*(1+Assumptions!B18)/12))</f>
        <v/>
      </c>
      <c r="AB6" s="151">
        <f>IF(AB4=0,0,(Assumptions!C56*(1+Assumptions!B17)*(1+Assumptions!B18)/12)*POWER(1+Assumptions!B19,1/12))</f>
        <v/>
      </c>
      <c r="AC6" s="151">
        <f>IF(AC4=0,0,(Assumptions!C56*(1+Assumptions!B17)*(1+Assumptions!B18)/12)*POWER(1+Assumptions!B19,2/12))</f>
        <v/>
      </c>
      <c r="AD6" s="151">
        <f>IF(AD4=0,0,(Assumptions!C56*(1+Assumptions!B17)*(1+Assumptions!B18)/12)*POWER(1+Assumptions!B19,3/12))</f>
        <v/>
      </c>
      <c r="AE6" s="151">
        <f>IF(AE4=0,0,(Assumptions!C56*(1+Assumptions!B17)*(1+Assumptions!B18)/12)*POWER(1+Assumptions!B19,4/12))</f>
        <v/>
      </c>
      <c r="AF6" s="151">
        <f>IF(AF4=0,0,(Assumptions!C56*(1+Assumptions!B17)*(1+Assumptions!B18)/12)*POWER(1+Assumptions!B19,5/12))</f>
        <v/>
      </c>
      <c r="AG6" s="151">
        <f>IF(AG4=0,0,(Assumptions!C56*(1+Assumptions!B17)*(1+Assumptions!B18)/12)*POWER(1+Assumptions!B19,6/12))</f>
        <v/>
      </c>
      <c r="AH6" s="151">
        <f>IF(AH4=0,0,(Assumptions!C56*(1+Assumptions!B17)*(1+Assumptions!B18)/12)*POWER(1+Assumptions!B19,7/12))</f>
        <v/>
      </c>
      <c r="AI6" s="151">
        <f>IF(AI4=0,0,(Assumptions!C56*(1+Assumptions!B17)*(1+Assumptions!B18)/12)*POWER(1+Assumptions!B19,8/12))</f>
        <v/>
      </c>
      <c r="AJ6" s="151">
        <f>IF(AJ4=0,0,(Assumptions!C56*(1+Assumptions!B17)*(1+Assumptions!B18)/12)*POWER(1+Assumptions!B19,9/12))</f>
        <v/>
      </c>
      <c r="AK6" s="151">
        <f>IF(AK4=0,0,(Assumptions!C56*(1+Assumptions!B17)*(1+Assumptions!B18)/12)*POWER(1+Assumptions!B19,10/12))</f>
        <v/>
      </c>
      <c r="AL6" s="151">
        <f>IF(AL4=0,0,(Assumptions!C56*(1+Assumptions!B17)*(1+Assumptions!B18)/12)*POWER(1+Assumptions!B19,11/12))</f>
        <v/>
      </c>
      <c r="AM6" s="151">
        <f>IF(AM4=0,0,(Assumptions!C56*(1+Assumptions!B17)*(1+Assumptions!B18)*(1+Assumptions!B19)/12))</f>
        <v/>
      </c>
      <c r="AN6" s="151">
        <f>IF(AN4=0,0,(Assumptions!C56*(1+Assumptions!B17)*(1+Assumptions!B18)*(1+Assumptions!B19)/12)*POWER(1+Assumptions!B20,1/12))</f>
        <v/>
      </c>
      <c r="AO6" s="151">
        <f>IF(AO4=0,0,(Assumptions!C56*(1+Assumptions!B17)*(1+Assumptions!B18)*(1+Assumptions!B19)/12)*POWER(1+Assumptions!B20,2/12))</f>
        <v/>
      </c>
      <c r="AP6" s="151">
        <f>IF(AP4=0,0,(Assumptions!C56*(1+Assumptions!B17)*(1+Assumptions!B18)*(1+Assumptions!B19)/12)*POWER(1+Assumptions!B20,3/12))</f>
        <v/>
      </c>
      <c r="AQ6" s="151">
        <f>IF(AQ4=0,0,(Assumptions!C56*(1+Assumptions!B17)*(1+Assumptions!B18)*(1+Assumptions!B19)/12)*POWER(1+Assumptions!B20,4/12))</f>
        <v/>
      </c>
      <c r="AR6" s="151">
        <f>IF(AR4=0,0,(Assumptions!C56*(1+Assumptions!B17)*(1+Assumptions!B18)*(1+Assumptions!B19)/12)*POWER(1+Assumptions!B20,5/12))</f>
        <v/>
      </c>
      <c r="AS6" s="151">
        <f>IF(AS4=0,0,(Assumptions!C56*(1+Assumptions!B17)*(1+Assumptions!B18)*(1+Assumptions!B19)/12)*POWER(1+Assumptions!B20,6/12))</f>
        <v/>
      </c>
      <c r="AT6" s="151">
        <f>IF(AT4=0,0,(Assumptions!C56*(1+Assumptions!B17)*(1+Assumptions!B18)*(1+Assumptions!B19)/12)*POWER(1+Assumptions!B20,7/12))</f>
        <v/>
      </c>
      <c r="AU6" s="151">
        <f>IF(AU4=0,0,(Assumptions!C56*(1+Assumptions!B17)*(1+Assumptions!B18)*(1+Assumptions!B19)/12)*POWER(1+Assumptions!B20,8/12))</f>
        <v/>
      </c>
      <c r="AV6" s="151">
        <f>IF(AV4=0,0,(Assumptions!C56*(1+Assumptions!B17)*(1+Assumptions!B18)*(1+Assumptions!B19)/12)*POWER(1+Assumptions!B20,9/12))</f>
        <v/>
      </c>
      <c r="AW6" s="151">
        <f>IF(AW4=0,0,(Assumptions!C56*(1+Assumptions!B17)*(1+Assumptions!B18)*(1+Assumptions!B19)/12)*POWER(1+Assumptions!B20,10/12))</f>
        <v/>
      </c>
      <c r="AX6" s="151">
        <f>IF(AX4=0,0,(Assumptions!C56*(1+Assumptions!B17)*(1+Assumptions!B18)*(1+Assumptions!B19)/12)*POWER(1+Assumptions!B20,11/12))</f>
        <v/>
      </c>
      <c r="AY6" s="151">
        <f>IF(AY4=0,0,(Assumptions!C56*(1+Assumptions!B17)*(1+Assumptions!B18)*(1+Assumptions!B19)*(1+Assumptions!B20)/12))</f>
        <v/>
      </c>
      <c r="AZ6" s="151">
        <f>IF(AZ4=0,0,(Assumptions!C56*(1+Assumptions!B17)*(1+Assumptions!B18)*(1+Assumptions!B19)*(1+Assumptions!B20)/12)*POWER(1+Assumptions!B21,1/12))</f>
        <v/>
      </c>
      <c r="BA6" s="151">
        <f>IF(BA4=0,0,(Assumptions!C56*(1+Assumptions!B17)*(1+Assumptions!B18)*(1+Assumptions!B19)*(1+Assumptions!B20)/12)*POWER(1+Assumptions!B21,2/12))</f>
        <v/>
      </c>
      <c r="BB6" s="151">
        <f>IF(BB4=0,0,(Assumptions!C56*(1+Assumptions!B17)*(1+Assumptions!B18)*(1+Assumptions!B19)*(1+Assumptions!B20)/12)*POWER(1+Assumptions!B21,3/12))</f>
        <v/>
      </c>
      <c r="BC6" s="151">
        <f>IF(BC4=0,0,(Assumptions!C56*(1+Assumptions!B17)*(1+Assumptions!B18)*(1+Assumptions!B19)*(1+Assumptions!B20)/12)*POWER(1+Assumptions!B21,4/12))</f>
        <v/>
      </c>
      <c r="BD6" s="151">
        <f>IF(BD4=0,0,(Assumptions!C56*(1+Assumptions!B17)*(1+Assumptions!B18)*(1+Assumptions!B19)*(1+Assumptions!B20)/12)*POWER(1+Assumptions!B21,5/12))</f>
        <v/>
      </c>
      <c r="BE6" s="151">
        <f>IF(BE4=0,0,(Assumptions!C56*(1+Assumptions!B17)*(1+Assumptions!B18)*(1+Assumptions!B19)*(1+Assumptions!B20)/12)*POWER(1+Assumptions!B21,6/12))</f>
        <v/>
      </c>
      <c r="BF6" s="151">
        <f>IF(BF4=0,0,(Assumptions!C56*(1+Assumptions!B17)*(1+Assumptions!B18)*(1+Assumptions!B19)*(1+Assumptions!B20)/12)*POWER(1+Assumptions!B21,7/12))</f>
        <v/>
      </c>
      <c r="BG6" s="151">
        <f>IF(BG4=0,0,(Assumptions!C56*(1+Assumptions!B17)*(1+Assumptions!B18)*(1+Assumptions!B19)*(1+Assumptions!B20)/12)*POWER(1+Assumptions!B21,8/12))</f>
        <v/>
      </c>
      <c r="BH6" s="151">
        <f>IF(BH4=0,0,(Assumptions!C56*(1+Assumptions!B17)*(1+Assumptions!B18)*(1+Assumptions!B19)*(1+Assumptions!B20)/12)*POWER(1+Assumptions!B21,9/12))</f>
        <v/>
      </c>
      <c r="BI6" s="151">
        <f>IF(BI4=0,0,(Assumptions!C56*(1+Assumptions!B17)*(1+Assumptions!B18)*(1+Assumptions!B19)*(1+Assumptions!B20)/12)*POWER(1+Assumptions!B21,10/12))</f>
        <v/>
      </c>
      <c r="BJ6" s="151">
        <f>IF(BJ4=0,0,(Assumptions!C56*(1+Assumptions!B17)*(1+Assumptions!B18)*(1+Assumptions!B19)*(1+Assumptions!B20)/12)*POWER(1+Assumptions!B21,11/12))</f>
        <v/>
      </c>
      <c r="BL6" s="152">
        <f>C6+D6+E6+F6+G6+H6+I6+J6+K6+L6+M6+N6</f>
        <v/>
      </c>
      <c r="BM6" s="152">
        <f>O6+P6+Q6+R6+S6+T6+U6+V6+W6+X6+Y6+Z6</f>
        <v/>
      </c>
      <c r="BN6" s="152">
        <f>AA6+AB6+AC6+AD6+AE6+AF6+AG6+AH6+AI6+AJ6+AK6+AL6</f>
        <v/>
      </c>
      <c r="BO6" s="152">
        <f>AM6+AN6+AO6+AP6+AQ6+AR6+AS6+AT6+AU6+AV6+AW6+AX6</f>
        <v/>
      </c>
      <c r="BP6" s="152">
        <f>AY6+AZ6+BA6+BB6+BC6+BD6+BE6+BF6+BG6+BH6+BI6+BJ6</f>
        <v/>
      </c>
    </row>
    <row r="7" ht="15" customHeight="1" s="104">
      <c r="A7" s="106" t="inlineStr">
        <is>
          <t>OPERATING EXPENSES</t>
        </is>
      </c>
    </row>
    <row r="8" ht="15" customHeight="1" s="104">
      <c r="A8" s="107" t="inlineStr">
        <is>
          <t>Attorney Compensation</t>
        </is>
      </c>
      <c r="C8" s="156">
        <f>C6*(Assumptions!B24+Assumptions!B25*0)</f>
        <v/>
      </c>
      <c r="D8" s="156">
        <f>D6*(Assumptions!B24+Assumptions!B25*0)</f>
        <v/>
      </c>
      <c r="E8" s="156">
        <f>E6*(Assumptions!B24+Assumptions!B25*0)</f>
        <v/>
      </c>
      <c r="F8" s="156">
        <f>F6*(Assumptions!B24+Assumptions!B25*0)</f>
        <v/>
      </c>
      <c r="G8" s="156">
        <f>G6*(Assumptions!B24+Assumptions!B25*0)</f>
        <v/>
      </c>
      <c r="H8" s="156">
        <f>H6*(Assumptions!B24+Assumptions!B25*0)</f>
        <v/>
      </c>
      <c r="I8" s="156">
        <f>I6*(Assumptions!B24+Assumptions!B25*0)</f>
        <v/>
      </c>
      <c r="J8" s="156">
        <f>J6*(Assumptions!B24+Assumptions!B25*0)</f>
        <v/>
      </c>
      <c r="K8" s="156">
        <f>K6*(Assumptions!B24+Assumptions!B25*0)</f>
        <v/>
      </c>
      <c r="L8" s="156">
        <f>L6*(Assumptions!B24+Assumptions!B25*0)</f>
        <v/>
      </c>
      <c r="M8" s="156">
        <f>M6*(Assumptions!B24+Assumptions!B25*0)</f>
        <v/>
      </c>
      <c r="N8" s="156">
        <f>N6*(Assumptions!B24+Assumptions!B25*0)</f>
        <v/>
      </c>
      <c r="O8" s="156">
        <f>O6*(Assumptions!B24+Assumptions!B25*1)</f>
        <v/>
      </c>
      <c r="P8" s="156">
        <f>P6*(Assumptions!B24+Assumptions!B25*1)</f>
        <v/>
      </c>
      <c r="Q8" s="156">
        <f>Q6*(Assumptions!B24+Assumptions!B25*1)</f>
        <v/>
      </c>
      <c r="R8" s="156">
        <f>R6*(Assumptions!B24+Assumptions!B25*1)</f>
        <v/>
      </c>
      <c r="S8" s="156">
        <f>S6*(Assumptions!B24+Assumptions!B25*1)</f>
        <v/>
      </c>
      <c r="T8" s="156">
        <f>T6*(Assumptions!B24+Assumptions!B25*1)</f>
        <v/>
      </c>
      <c r="U8" s="156">
        <f>U6*(Assumptions!B24+Assumptions!B25*1)</f>
        <v/>
      </c>
      <c r="V8" s="156">
        <f>V6*(Assumptions!B24+Assumptions!B25*1)</f>
        <v/>
      </c>
      <c r="W8" s="156">
        <f>W6*(Assumptions!B24+Assumptions!B25*1)</f>
        <v/>
      </c>
      <c r="X8" s="156">
        <f>X6*(Assumptions!B24+Assumptions!B25*1)</f>
        <v/>
      </c>
      <c r="Y8" s="156">
        <f>Y6*(Assumptions!B24+Assumptions!B25*1)</f>
        <v/>
      </c>
      <c r="Z8" s="156">
        <f>Z6*(Assumptions!B24+Assumptions!B25*1)</f>
        <v/>
      </c>
      <c r="AA8" s="156">
        <f>AA6*(Assumptions!B24+Assumptions!B25*2)</f>
        <v/>
      </c>
      <c r="AB8" s="156">
        <f>AB6*(Assumptions!B24+Assumptions!B25*2)</f>
        <v/>
      </c>
      <c r="AC8" s="156">
        <f>AC6*(Assumptions!B24+Assumptions!B25*2)</f>
        <v/>
      </c>
      <c r="AD8" s="156">
        <f>AD6*(Assumptions!B24+Assumptions!B25*2)</f>
        <v/>
      </c>
      <c r="AE8" s="156">
        <f>AE6*(Assumptions!B24+Assumptions!B25*2)</f>
        <v/>
      </c>
      <c r="AF8" s="156">
        <f>AF6*(Assumptions!B24+Assumptions!B25*2)</f>
        <v/>
      </c>
      <c r="AG8" s="156">
        <f>AG6*(Assumptions!B24+Assumptions!B25*2)</f>
        <v/>
      </c>
      <c r="AH8" s="156">
        <f>AH6*(Assumptions!B24+Assumptions!B25*2)</f>
        <v/>
      </c>
      <c r="AI8" s="156">
        <f>AI6*(Assumptions!B24+Assumptions!B25*2)</f>
        <v/>
      </c>
      <c r="AJ8" s="156">
        <f>AJ6*(Assumptions!B24+Assumptions!B25*2)</f>
        <v/>
      </c>
      <c r="AK8" s="156">
        <f>AK6*(Assumptions!B24+Assumptions!B25*2)</f>
        <v/>
      </c>
      <c r="AL8" s="156">
        <f>AL6*(Assumptions!B24+Assumptions!B25*2)</f>
        <v/>
      </c>
      <c r="AM8" s="156">
        <f>AM6*(Assumptions!B24+Assumptions!B25*3)</f>
        <v/>
      </c>
      <c r="AN8" s="156">
        <f>AN6*(Assumptions!B24+Assumptions!B25*3)</f>
        <v/>
      </c>
      <c r="AO8" s="156">
        <f>AO6*(Assumptions!B24+Assumptions!B25*3)</f>
        <v/>
      </c>
      <c r="AP8" s="156">
        <f>AP6*(Assumptions!B24+Assumptions!B25*3)</f>
        <v/>
      </c>
      <c r="AQ8" s="156">
        <f>AQ6*(Assumptions!B24+Assumptions!B25*3)</f>
        <v/>
      </c>
      <c r="AR8" s="156">
        <f>AR6*(Assumptions!B24+Assumptions!B25*3)</f>
        <v/>
      </c>
      <c r="AS8" s="156">
        <f>AS6*(Assumptions!B24+Assumptions!B25*3)</f>
        <v/>
      </c>
      <c r="AT8" s="156">
        <f>AT6*(Assumptions!B24+Assumptions!B25*3)</f>
        <v/>
      </c>
      <c r="AU8" s="156">
        <f>AU6*(Assumptions!B24+Assumptions!B25*3)</f>
        <v/>
      </c>
      <c r="AV8" s="156">
        <f>AV6*(Assumptions!B24+Assumptions!B25*3)</f>
        <v/>
      </c>
      <c r="AW8" s="156">
        <f>AW6*(Assumptions!B24+Assumptions!B25*3)</f>
        <v/>
      </c>
      <c r="AX8" s="156">
        <f>AX6*(Assumptions!B24+Assumptions!B25*3)</f>
        <v/>
      </c>
      <c r="AY8" s="156">
        <f>AY6*(Assumptions!B24+Assumptions!B25*4)</f>
        <v/>
      </c>
      <c r="AZ8" s="156">
        <f>AZ6*(Assumptions!B24+Assumptions!B25*4)</f>
        <v/>
      </c>
      <c r="BA8" s="156">
        <f>BA6*(Assumptions!B24+Assumptions!B25*4)</f>
        <v/>
      </c>
      <c r="BB8" s="156">
        <f>BB6*(Assumptions!B24+Assumptions!B25*4)</f>
        <v/>
      </c>
      <c r="BC8" s="156">
        <f>BC6*(Assumptions!B24+Assumptions!B25*4)</f>
        <v/>
      </c>
      <c r="BD8" s="156">
        <f>BD6*(Assumptions!B24+Assumptions!B25*4)</f>
        <v/>
      </c>
      <c r="BE8" s="156">
        <f>BE6*(Assumptions!B24+Assumptions!B25*4)</f>
        <v/>
      </c>
      <c r="BF8" s="156">
        <f>BF6*(Assumptions!B24+Assumptions!B25*4)</f>
        <v/>
      </c>
      <c r="BG8" s="156">
        <f>BG6*(Assumptions!B24+Assumptions!B25*4)</f>
        <v/>
      </c>
      <c r="BH8" s="156">
        <f>BH6*(Assumptions!B24+Assumptions!B25*4)</f>
        <v/>
      </c>
      <c r="BI8" s="156">
        <f>BI6*(Assumptions!B24+Assumptions!B25*4)</f>
        <v/>
      </c>
      <c r="BJ8" s="156">
        <f>BJ6*(Assumptions!B24+Assumptions!B25*4)</f>
        <v/>
      </c>
      <c r="BL8" s="157">
        <f>C8+D8+E8+F8+G8+H8+I8+J8+K8+L8+M8+N8</f>
        <v/>
      </c>
      <c r="BM8" s="157">
        <f>O8+P8+Q8+R8+S8+T8+U8+V8+W8+X8+Y8+Z8</f>
        <v/>
      </c>
      <c r="BN8" s="157">
        <f>AA8+AB8+AC8+AD8+AE8+AF8+AG8+AH8+AI8+AJ8+AK8+AL8</f>
        <v/>
      </c>
      <c r="BO8" s="157">
        <f>AM8+AN8+AO8+AP8+AQ8+AR8+AS8+AT8+AU8+AV8+AW8+AX8</f>
        <v/>
      </c>
      <c r="BP8" s="157">
        <f>AY8+AZ8+BA8+BB8+BC8+BD8+BE8+BF8+BG8+BH8+BI8+BJ8</f>
        <v/>
      </c>
    </row>
    <row r="9" ht="15" customHeight="1" s="104">
      <c r="A9" s="215" t="inlineStr">
        <is>
          <t xml:space="preserve">    % of Revenue</t>
        </is>
      </c>
      <c r="C9" s="216">
        <f>IF(C6=0,0,C8/C6)</f>
        <v/>
      </c>
      <c r="D9" s="216">
        <f>IF(D6=0,0,D8/D6)</f>
        <v/>
      </c>
      <c r="E9" s="216">
        <f>IF(E6=0,0,E8/E6)</f>
        <v/>
      </c>
      <c r="F9" s="216">
        <f>IF(F6=0,0,F8/F6)</f>
        <v/>
      </c>
      <c r="G9" s="216">
        <f>IF(G6=0,0,G8/G6)</f>
        <v/>
      </c>
      <c r="H9" s="216">
        <f>IF(H6=0,0,H8/H6)</f>
        <v/>
      </c>
      <c r="I9" s="216">
        <f>IF(I6=0,0,I8/I6)</f>
        <v/>
      </c>
      <c r="J9" s="216">
        <f>IF(J6=0,0,J8/J6)</f>
        <v/>
      </c>
      <c r="K9" s="216">
        <f>IF(K6=0,0,K8/K6)</f>
        <v/>
      </c>
      <c r="L9" s="216">
        <f>IF(L6=0,0,L8/L6)</f>
        <v/>
      </c>
      <c r="M9" s="216">
        <f>IF(M6=0,0,M8/M6)</f>
        <v/>
      </c>
      <c r="N9" s="216">
        <f>IF(N6=0,0,N8/N6)</f>
        <v/>
      </c>
      <c r="O9" s="216">
        <f>IF(O6=0,0,O8/O6)</f>
        <v/>
      </c>
      <c r="P9" s="216">
        <f>IF(P6=0,0,P8/P6)</f>
        <v/>
      </c>
      <c r="Q9" s="216">
        <f>IF(Q6=0,0,Q8/Q6)</f>
        <v/>
      </c>
      <c r="R9" s="216">
        <f>IF(R6=0,0,R8/R6)</f>
        <v/>
      </c>
      <c r="S9" s="216">
        <f>IF(S6=0,0,S8/S6)</f>
        <v/>
      </c>
      <c r="T9" s="216">
        <f>IF(T6=0,0,T8/T6)</f>
        <v/>
      </c>
      <c r="U9" s="216">
        <f>IF(U6=0,0,U8/U6)</f>
        <v/>
      </c>
      <c r="V9" s="216">
        <f>IF(V6=0,0,V8/V6)</f>
        <v/>
      </c>
      <c r="W9" s="216">
        <f>IF(W6=0,0,W8/W6)</f>
        <v/>
      </c>
      <c r="X9" s="216">
        <f>IF(X6=0,0,X8/X6)</f>
        <v/>
      </c>
      <c r="Y9" s="216">
        <f>IF(Y6=0,0,Y8/Y6)</f>
        <v/>
      </c>
      <c r="Z9" s="216">
        <f>IF(Z6=0,0,Z8/Z6)</f>
        <v/>
      </c>
      <c r="AA9" s="216">
        <f>IF(AA6=0,0,AA8/AA6)</f>
        <v/>
      </c>
      <c r="AB9" s="216">
        <f>IF(AB6=0,0,AB8/AB6)</f>
        <v/>
      </c>
      <c r="AC9" s="216">
        <f>IF(AC6=0,0,AC8/AC6)</f>
        <v/>
      </c>
      <c r="AD9" s="216">
        <f>IF(AD6=0,0,AD8/AD6)</f>
        <v/>
      </c>
      <c r="AE9" s="216">
        <f>IF(AE6=0,0,AE8/AE6)</f>
        <v/>
      </c>
      <c r="AF9" s="216">
        <f>IF(AF6=0,0,AF8/AF6)</f>
        <v/>
      </c>
      <c r="AG9" s="216">
        <f>IF(AG6=0,0,AG8/AG6)</f>
        <v/>
      </c>
      <c r="AH9" s="216">
        <f>IF(AH6=0,0,AH8/AH6)</f>
        <v/>
      </c>
      <c r="AI9" s="216">
        <f>IF(AI6=0,0,AI8/AI6)</f>
        <v/>
      </c>
      <c r="AJ9" s="216">
        <f>IF(AJ6=0,0,AJ8/AJ6)</f>
        <v/>
      </c>
      <c r="AK9" s="216">
        <f>IF(AK6=0,0,AK8/AK6)</f>
        <v/>
      </c>
      <c r="AL9" s="216">
        <f>IF(AL6=0,0,AL8/AL6)</f>
        <v/>
      </c>
      <c r="AM9" s="216">
        <f>IF(AM6=0,0,AM8/AM6)</f>
        <v/>
      </c>
      <c r="AN9" s="216">
        <f>IF(AN6=0,0,AN8/AN6)</f>
        <v/>
      </c>
      <c r="AO9" s="216">
        <f>IF(AO6=0,0,AO8/AO6)</f>
        <v/>
      </c>
      <c r="AP9" s="216">
        <f>IF(AP6=0,0,AP8/AP6)</f>
        <v/>
      </c>
      <c r="AQ9" s="216">
        <f>IF(AQ6=0,0,AQ8/AQ6)</f>
        <v/>
      </c>
      <c r="AR9" s="216">
        <f>IF(AR6=0,0,AR8/AR6)</f>
        <v/>
      </c>
      <c r="AS9" s="216">
        <f>IF(AS6=0,0,AS8/AS6)</f>
        <v/>
      </c>
      <c r="AT9" s="216">
        <f>IF(AT6=0,0,AT8/AT6)</f>
        <v/>
      </c>
      <c r="AU9" s="216">
        <f>IF(AU6=0,0,AU8/AU6)</f>
        <v/>
      </c>
      <c r="AV9" s="216">
        <f>IF(AV6=0,0,AV8/AV6)</f>
        <v/>
      </c>
      <c r="AW9" s="216">
        <f>IF(AW6=0,0,AW8/AW6)</f>
        <v/>
      </c>
      <c r="AX9" s="216">
        <f>IF(AX6=0,0,AX8/AX6)</f>
        <v/>
      </c>
      <c r="AY9" s="216">
        <f>IF(AY6=0,0,AY8/AY6)</f>
        <v/>
      </c>
      <c r="AZ9" s="216">
        <f>IF(AZ6=0,0,AZ8/AZ6)</f>
        <v/>
      </c>
      <c r="BA9" s="216">
        <f>IF(BA6=0,0,BA8/BA6)</f>
        <v/>
      </c>
      <c r="BB9" s="216">
        <f>IF(BB6=0,0,BB8/BB6)</f>
        <v/>
      </c>
      <c r="BC9" s="216">
        <f>IF(BC6=0,0,BC8/BC6)</f>
        <v/>
      </c>
      <c r="BD9" s="216">
        <f>IF(BD6=0,0,BD8/BD6)</f>
        <v/>
      </c>
      <c r="BE9" s="216">
        <f>IF(BE6=0,0,BE8/BE6)</f>
        <v/>
      </c>
      <c r="BF9" s="216">
        <f>IF(BF6=0,0,BF8/BF6)</f>
        <v/>
      </c>
      <c r="BG9" s="216">
        <f>IF(BG6=0,0,BG8/BG6)</f>
        <v/>
      </c>
      <c r="BH9" s="216">
        <f>IF(BH6=0,0,BH8/BH6)</f>
        <v/>
      </c>
      <c r="BI9" s="216">
        <f>IF(BI6=0,0,BI8/BI6)</f>
        <v/>
      </c>
      <c r="BJ9" s="216">
        <f>IF(BJ6=0,0,BJ8/BJ6)</f>
        <v/>
      </c>
      <c r="BL9" s="217">
        <f>IF((C6+D6+E6+F6+G6+H6+I6+J6+K6+L6+M6+N6)=0,0,(C8+D8+E8+F8+G8+H8+I8+J8+K8+L8+M8+N8)/(C6+D6+E6+F6+G6+H6+I6+J6+K6+L6+M6+N6))</f>
        <v/>
      </c>
      <c r="BM9" s="217">
        <f>IF((O6+P6+Q6+R6+S6+T6+U6+V6+W6+X6+Y6+Z6)=0,0,(O8+P8+Q8+R8+S8+T8+U8+V8+W8+X8+Y8+Z8)/(O6+P6+Q6+R6+S6+T6+U6+V6+W6+X6+Y6+Z6))</f>
        <v/>
      </c>
      <c r="BN9" s="217">
        <f>IF((AA6+AB6+AC6+AD6+AE6+AF6+AG6+AH6+AI6+AJ6+AK6+AL6)=0,0,(AA8+AB8+AC8+AD8+AE8+AF8+AG8+AH8+AI8+AJ8+AK8+AL8)/(AA6+AB6+AC6+AD6+AE6+AF6+AG6+AH6+AI6+AJ6+AK6+AL6))</f>
        <v/>
      </c>
      <c r="BO9" s="217">
        <f>IF((AM6+AN6+AO6+AP6+AQ6+AR6+AS6+AT6+AU6+AV6+AW6+AX6)=0,0,(AM8+AN8+AO8+AP8+AQ8+AR8+AS8+AT8+AU8+AV8+AW8+AX8)/(AM6+AN6+AO6+AP6+AQ6+AR6+AS6+AT6+AU6+AV6+AW6+AX6))</f>
        <v/>
      </c>
      <c r="BP9" s="217">
        <f>IF((AY6+AZ6+BA6+BB6+BC6+BD6+BE6+BF6+BG6+BH6+BI6+BJ6)=0,0,(AY8+AZ8+BA8+BB8+BC8+BD8+BE8+BF8+BG8+BH8+BI8+BJ8)/(AY6+AZ6+BA6+BB6+BC6+BD6+BE6+BF6+BG6+BH6+BI6+BJ6))</f>
        <v/>
      </c>
    </row>
    <row r="10" ht="15" customHeight="1" s="104">
      <c r="A10" s="107" t="inlineStr">
        <is>
          <t>Staff Compensation</t>
        </is>
      </c>
      <c r="C10" s="156">
        <f>C6*(Assumptions!B26+Assumptions!B27*0)</f>
        <v/>
      </c>
      <c r="D10" s="156">
        <f>D6*(Assumptions!B26+Assumptions!B27*0)</f>
        <v/>
      </c>
      <c r="E10" s="156">
        <f>E6*(Assumptions!B26+Assumptions!B27*0)</f>
        <v/>
      </c>
      <c r="F10" s="156">
        <f>F6*(Assumptions!B26+Assumptions!B27*0)</f>
        <v/>
      </c>
      <c r="G10" s="156">
        <f>G6*(Assumptions!B26+Assumptions!B27*0)</f>
        <v/>
      </c>
      <c r="H10" s="156">
        <f>H6*(Assumptions!B26+Assumptions!B27*0)</f>
        <v/>
      </c>
      <c r="I10" s="156">
        <f>I6*(Assumptions!B26+Assumptions!B27*0)</f>
        <v/>
      </c>
      <c r="J10" s="156">
        <f>J6*(Assumptions!B26+Assumptions!B27*0)</f>
        <v/>
      </c>
      <c r="K10" s="156">
        <f>K6*(Assumptions!B26+Assumptions!B27*0)</f>
        <v/>
      </c>
      <c r="L10" s="156">
        <f>L6*(Assumptions!B26+Assumptions!B27*0)</f>
        <v/>
      </c>
      <c r="M10" s="156">
        <f>M6*(Assumptions!B26+Assumptions!B27*0)</f>
        <v/>
      </c>
      <c r="N10" s="156">
        <f>N6*(Assumptions!B26+Assumptions!B27*0)</f>
        <v/>
      </c>
      <c r="O10" s="156">
        <f>O6*(Assumptions!B26+Assumptions!B27*1)</f>
        <v/>
      </c>
      <c r="P10" s="156">
        <f>P6*(Assumptions!B26+Assumptions!B27*1)</f>
        <v/>
      </c>
      <c r="Q10" s="156">
        <f>Q6*(Assumptions!B26+Assumptions!B27*1)</f>
        <v/>
      </c>
      <c r="R10" s="156">
        <f>R6*(Assumptions!B26+Assumptions!B27*1)</f>
        <v/>
      </c>
      <c r="S10" s="156">
        <f>S6*(Assumptions!B26+Assumptions!B27*1)</f>
        <v/>
      </c>
      <c r="T10" s="156">
        <f>T6*(Assumptions!B26+Assumptions!B27*1)</f>
        <v/>
      </c>
      <c r="U10" s="156">
        <f>U6*(Assumptions!B26+Assumptions!B27*1)</f>
        <v/>
      </c>
      <c r="V10" s="156">
        <f>V6*(Assumptions!B26+Assumptions!B27*1)</f>
        <v/>
      </c>
      <c r="W10" s="156">
        <f>W6*(Assumptions!B26+Assumptions!B27*1)</f>
        <v/>
      </c>
      <c r="X10" s="156">
        <f>X6*(Assumptions!B26+Assumptions!B27*1)</f>
        <v/>
      </c>
      <c r="Y10" s="156">
        <f>Y6*(Assumptions!B26+Assumptions!B27*1)</f>
        <v/>
      </c>
      <c r="Z10" s="156">
        <f>Z6*(Assumptions!B26+Assumptions!B27*1)</f>
        <v/>
      </c>
      <c r="AA10" s="156">
        <f>AA6*(Assumptions!B26+Assumptions!B27*2)</f>
        <v/>
      </c>
      <c r="AB10" s="156">
        <f>AB6*(Assumptions!B26+Assumptions!B27*2)</f>
        <v/>
      </c>
      <c r="AC10" s="156">
        <f>AC6*(Assumptions!B26+Assumptions!B27*2)</f>
        <v/>
      </c>
      <c r="AD10" s="156">
        <f>AD6*(Assumptions!B26+Assumptions!B27*2)</f>
        <v/>
      </c>
      <c r="AE10" s="156">
        <f>AE6*(Assumptions!B26+Assumptions!B27*2)</f>
        <v/>
      </c>
      <c r="AF10" s="156">
        <f>AF6*(Assumptions!B26+Assumptions!B27*2)</f>
        <v/>
      </c>
      <c r="AG10" s="156">
        <f>AG6*(Assumptions!B26+Assumptions!B27*2)</f>
        <v/>
      </c>
      <c r="AH10" s="156">
        <f>AH6*(Assumptions!B26+Assumptions!B27*2)</f>
        <v/>
      </c>
      <c r="AI10" s="156">
        <f>AI6*(Assumptions!B26+Assumptions!B27*2)</f>
        <v/>
      </c>
      <c r="AJ10" s="156">
        <f>AJ6*(Assumptions!B26+Assumptions!B27*2)</f>
        <v/>
      </c>
      <c r="AK10" s="156">
        <f>AK6*(Assumptions!B26+Assumptions!B27*2)</f>
        <v/>
      </c>
      <c r="AL10" s="156">
        <f>AL6*(Assumptions!B26+Assumptions!B27*2)</f>
        <v/>
      </c>
      <c r="AM10" s="156">
        <f>AM6*(Assumptions!B26+Assumptions!B27*3)</f>
        <v/>
      </c>
      <c r="AN10" s="156">
        <f>AN6*(Assumptions!B26+Assumptions!B27*3)</f>
        <v/>
      </c>
      <c r="AO10" s="156">
        <f>AO6*(Assumptions!B26+Assumptions!B27*3)</f>
        <v/>
      </c>
      <c r="AP10" s="156">
        <f>AP6*(Assumptions!B26+Assumptions!B27*3)</f>
        <v/>
      </c>
      <c r="AQ10" s="156">
        <f>AQ6*(Assumptions!B26+Assumptions!B27*3)</f>
        <v/>
      </c>
      <c r="AR10" s="156">
        <f>AR6*(Assumptions!B26+Assumptions!B27*3)</f>
        <v/>
      </c>
      <c r="AS10" s="156">
        <f>AS6*(Assumptions!B26+Assumptions!B27*3)</f>
        <v/>
      </c>
      <c r="AT10" s="156">
        <f>AT6*(Assumptions!B26+Assumptions!B27*3)</f>
        <v/>
      </c>
      <c r="AU10" s="156">
        <f>AU6*(Assumptions!B26+Assumptions!B27*3)</f>
        <v/>
      </c>
      <c r="AV10" s="156">
        <f>AV6*(Assumptions!B26+Assumptions!B27*3)</f>
        <v/>
      </c>
      <c r="AW10" s="156">
        <f>AW6*(Assumptions!B26+Assumptions!B27*3)</f>
        <v/>
      </c>
      <c r="AX10" s="156">
        <f>AX6*(Assumptions!B26+Assumptions!B27*3)</f>
        <v/>
      </c>
      <c r="AY10" s="156">
        <f>AY6*(Assumptions!B26+Assumptions!B27*4)</f>
        <v/>
      </c>
      <c r="AZ10" s="156">
        <f>AZ6*(Assumptions!B26+Assumptions!B27*4)</f>
        <v/>
      </c>
      <c r="BA10" s="156">
        <f>BA6*(Assumptions!B26+Assumptions!B27*4)</f>
        <v/>
      </c>
      <c r="BB10" s="156">
        <f>BB6*(Assumptions!B26+Assumptions!B27*4)</f>
        <v/>
      </c>
      <c r="BC10" s="156">
        <f>BC6*(Assumptions!B26+Assumptions!B27*4)</f>
        <v/>
      </c>
      <c r="BD10" s="156">
        <f>BD6*(Assumptions!B26+Assumptions!B27*4)</f>
        <v/>
      </c>
      <c r="BE10" s="156">
        <f>BE6*(Assumptions!B26+Assumptions!B27*4)</f>
        <v/>
      </c>
      <c r="BF10" s="156">
        <f>BF6*(Assumptions!B26+Assumptions!B27*4)</f>
        <v/>
      </c>
      <c r="BG10" s="156">
        <f>BG6*(Assumptions!B26+Assumptions!B27*4)</f>
        <v/>
      </c>
      <c r="BH10" s="156">
        <f>BH6*(Assumptions!B26+Assumptions!B27*4)</f>
        <v/>
      </c>
      <c r="BI10" s="156">
        <f>BI6*(Assumptions!B26+Assumptions!B27*4)</f>
        <v/>
      </c>
      <c r="BJ10" s="156">
        <f>BJ6*(Assumptions!B26+Assumptions!B27*4)</f>
        <v/>
      </c>
      <c r="BL10" s="157">
        <f>C10+D10+E10+F10+G10+H10+I10+J10+K10+L10+M10+N10</f>
        <v/>
      </c>
      <c r="BM10" s="157">
        <f>O10+P10+Q10+R10+S10+T10+U10+V10+W10+X10+Y10+Z10</f>
        <v/>
      </c>
      <c r="BN10" s="157">
        <f>AA10+AB10+AC10+AD10+AE10+AF10+AG10+AH10+AI10+AJ10+AK10+AL10</f>
        <v/>
      </c>
      <c r="BO10" s="157">
        <f>AM10+AN10+AO10+AP10+AQ10+AR10+AS10+AT10+AU10+AV10+AW10+AX10</f>
        <v/>
      </c>
      <c r="BP10" s="157">
        <f>AY10+AZ10+BA10+BB10+BC10+BD10+BE10+BF10+BG10+BH10+BI10+BJ10</f>
        <v/>
      </c>
    </row>
    <row r="11" ht="15" customHeight="1" s="104">
      <c r="A11" s="215" t="inlineStr">
        <is>
          <t xml:space="preserve">    % of Revenue</t>
        </is>
      </c>
      <c r="C11" s="216">
        <f>IF(C6=0,0,C10/C6)</f>
        <v/>
      </c>
      <c r="D11" s="216">
        <f>IF(D6=0,0,D10/D6)</f>
        <v/>
      </c>
      <c r="E11" s="216">
        <f>IF(E6=0,0,E10/E6)</f>
        <v/>
      </c>
      <c r="F11" s="216">
        <f>IF(F6=0,0,F10/F6)</f>
        <v/>
      </c>
      <c r="G11" s="216">
        <f>IF(G6=0,0,G10/G6)</f>
        <v/>
      </c>
      <c r="H11" s="216">
        <f>IF(H6=0,0,H10/H6)</f>
        <v/>
      </c>
      <c r="I11" s="216">
        <f>IF(I6=0,0,I10/I6)</f>
        <v/>
      </c>
      <c r="J11" s="216">
        <f>IF(J6=0,0,J10/J6)</f>
        <v/>
      </c>
      <c r="K11" s="216">
        <f>IF(K6=0,0,K10/K6)</f>
        <v/>
      </c>
      <c r="L11" s="216">
        <f>IF(L6=0,0,L10/L6)</f>
        <v/>
      </c>
      <c r="M11" s="216">
        <f>IF(M6=0,0,M10/M6)</f>
        <v/>
      </c>
      <c r="N11" s="216">
        <f>IF(N6=0,0,N10/N6)</f>
        <v/>
      </c>
      <c r="O11" s="216">
        <f>IF(O6=0,0,O10/O6)</f>
        <v/>
      </c>
      <c r="P11" s="216">
        <f>IF(P6=0,0,P10/P6)</f>
        <v/>
      </c>
      <c r="Q11" s="216">
        <f>IF(Q6=0,0,Q10/Q6)</f>
        <v/>
      </c>
      <c r="R11" s="216">
        <f>IF(R6=0,0,R10/R6)</f>
        <v/>
      </c>
      <c r="S11" s="216">
        <f>IF(S6=0,0,S10/S6)</f>
        <v/>
      </c>
      <c r="T11" s="216">
        <f>IF(T6=0,0,T10/T6)</f>
        <v/>
      </c>
      <c r="U11" s="216">
        <f>IF(U6=0,0,U10/U6)</f>
        <v/>
      </c>
      <c r="V11" s="216">
        <f>IF(V6=0,0,V10/V6)</f>
        <v/>
      </c>
      <c r="W11" s="216">
        <f>IF(W6=0,0,W10/W6)</f>
        <v/>
      </c>
      <c r="X11" s="216">
        <f>IF(X6=0,0,X10/X6)</f>
        <v/>
      </c>
      <c r="Y11" s="216">
        <f>IF(Y6=0,0,Y10/Y6)</f>
        <v/>
      </c>
      <c r="Z11" s="216">
        <f>IF(Z6=0,0,Z10/Z6)</f>
        <v/>
      </c>
      <c r="AA11" s="216">
        <f>IF(AA6=0,0,AA10/AA6)</f>
        <v/>
      </c>
      <c r="AB11" s="216">
        <f>IF(AB6=0,0,AB10/AB6)</f>
        <v/>
      </c>
      <c r="AC11" s="216">
        <f>IF(AC6=0,0,AC10/AC6)</f>
        <v/>
      </c>
      <c r="AD11" s="216">
        <f>IF(AD6=0,0,AD10/AD6)</f>
        <v/>
      </c>
      <c r="AE11" s="216">
        <f>IF(AE6=0,0,AE10/AE6)</f>
        <v/>
      </c>
      <c r="AF11" s="216">
        <f>IF(AF6=0,0,AF10/AF6)</f>
        <v/>
      </c>
      <c r="AG11" s="216">
        <f>IF(AG6=0,0,AG10/AG6)</f>
        <v/>
      </c>
      <c r="AH11" s="216">
        <f>IF(AH6=0,0,AH10/AH6)</f>
        <v/>
      </c>
      <c r="AI11" s="216">
        <f>IF(AI6=0,0,AI10/AI6)</f>
        <v/>
      </c>
      <c r="AJ11" s="216">
        <f>IF(AJ6=0,0,AJ10/AJ6)</f>
        <v/>
      </c>
      <c r="AK11" s="216">
        <f>IF(AK6=0,0,AK10/AK6)</f>
        <v/>
      </c>
      <c r="AL11" s="216">
        <f>IF(AL6=0,0,AL10/AL6)</f>
        <v/>
      </c>
      <c r="AM11" s="216">
        <f>IF(AM6=0,0,AM10/AM6)</f>
        <v/>
      </c>
      <c r="AN11" s="216">
        <f>IF(AN6=0,0,AN10/AN6)</f>
        <v/>
      </c>
      <c r="AO11" s="216">
        <f>IF(AO6=0,0,AO10/AO6)</f>
        <v/>
      </c>
      <c r="AP11" s="216">
        <f>IF(AP6=0,0,AP10/AP6)</f>
        <v/>
      </c>
      <c r="AQ11" s="216">
        <f>IF(AQ6=0,0,AQ10/AQ6)</f>
        <v/>
      </c>
      <c r="AR11" s="216">
        <f>IF(AR6=0,0,AR10/AR6)</f>
        <v/>
      </c>
      <c r="AS11" s="216">
        <f>IF(AS6=0,0,AS10/AS6)</f>
        <v/>
      </c>
      <c r="AT11" s="216">
        <f>IF(AT6=0,0,AT10/AT6)</f>
        <v/>
      </c>
      <c r="AU11" s="216">
        <f>IF(AU6=0,0,AU10/AU6)</f>
        <v/>
      </c>
      <c r="AV11" s="216">
        <f>IF(AV6=0,0,AV10/AV6)</f>
        <v/>
      </c>
      <c r="AW11" s="216">
        <f>IF(AW6=0,0,AW10/AW6)</f>
        <v/>
      </c>
      <c r="AX11" s="216">
        <f>IF(AX6=0,0,AX10/AX6)</f>
        <v/>
      </c>
      <c r="AY11" s="216">
        <f>IF(AY6=0,0,AY10/AY6)</f>
        <v/>
      </c>
      <c r="AZ11" s="216">
        <f>IF(AZ6=0,0,AZ10/AZ6)</f>
        <v/>
      </c>
      <c r="BA11" s="216">
        <f>IF(BA6=0,0,BA10/BA6)</f>
        <v/>
      </c>
      <c r="BB11" s="216">
        <f>IF(BB6=0,0,BB10/BB6)</f>
        <v/>
      </c>
      <c r="BC11" s="216">
        <f>IF(BC6=0,0,BC10/BC6)</f>
        <v/>
      </c>
      <c r="BD11" s="216">
        <f>IF(BD6=0,0,BD10/BD6)</f>
        <v/>
      </c>
      <c r="BE11" s="216">
        <f>IF(BE6=0,0,BE10/BE6)</f>
        <v/>
      </c>
      <c r="BF11" s="216">
        <f>IF(BF6=0,0,BF10/BF6)</f>
        <v/>
      </c>
      <c r="BG11" s="216">
        <f>IF(BG6=0,0,BG10/BG6)</f>
        <v/>
      </c>
      <c r="BH11" s="216">
        <f>IF(BH6=0,0,BH10/BH6)</f>
        <v/>
      </c>
      <c r="BI11" s="216">
        <f>IF(BI6=0,0,BI10/BI6)</f>
        <v/>
      </c>
      <c r="BJ11" s="216">
        <f>IF(BJ6=0,0,BJ10/BJ6)</f>
        <v/>
      </c>
      <c r="BL11" s="217">
        <f>IF((C6+D6+E6+F6+G6+H6+I6+J6+K6+L6+M6+N6)=0,0,(C10+D10+E10+F10+G10+H10+I10+J10+K10+L10+M10+N10)/(C6+D6+E6+F6+G6+H6+I6+J6+K6+L6+M6+N6))</f>
        <v/>
      </c>
      <c r="BM11" s="217">
        <f>IF((O6+P6+Q6+R6+S6+T6+U6+V6+W6+X6+Y6+Z6)=0,0,(O10+P10+Q10+R10+S10+T10+U10+V10+W10+X10+Y10+Z10)/(O6+P6+Q6+R6+S6+T6+U6+V6+W6+X6+Y6+Z6))</f>
        <v/>
      </c>
      <c r="BN11" s="217">
        <f>IF((AA6+AB6+AC6+AD6+AE6+AF6+AG6+AH6+AI6+AJ6+AK6+AL6)=0,0,(AA10+AB10+AC10+AD10+AE10+AF10+AG10+AH10+AI10+AJ10+AK10+AL10)/(AA6+AB6+AC6+AD6+AE6+AF6+AG6+AH6+AI6+AJ6+AK6+AL6))</f>
        <v/>
      </c>
      <c r="BO11" s="217">
        <f>IF((AM6+AN6+AO6+AP6+AQ6+AR6+AS6+AT6+AU6+AV6+AW6+AX6)=0,0,(AM10+AN10+AO10+AP10+AQ10+AR10+AS10+AT10+AU10+AV10+AW10+AX10)/(AM6+AN6+AO6+AP6+AQ6+AR6+AS6+AT6+AU6+AV6+AW6+AX6))</f>
        <v/>
      </c>
      <c r="BP11" s="217">
        <f>IF((AY6+AZ6+BA6+BB6+BC6+BD6+BE6+BF6+BG6+BH6+BI6+BJ6)=0,0,(AY10+AZ10+BA10+BB10+BC10+BD10+BE10+BF10+BG10+BH10+BI10+BJ10)/(AY6+AZ6+BA6+BB6+BC6+BD6+BE6+BF6+BG6+BH6+BI6+BJ6))</f>
        <v/>
      </c>
    </row>
    <row r="12" ht="15" customHeight="1" s="104">
      <c r="A12" s="107" t="inlineStr">
        <is>
          <t>Occupancy &amp; Facilities</t>
        </is>
      </c>
      <c r="C12" s="156">
        <f>C6*(Assumptions!B28+Assumptions!B29*0)</f>
        <v/>
      </c>
      <c r="D12" s="156">
        <f>D6*(Assumptions!B28+Assumptions!B29*0)</f>
        <v/>
      </c>
      <c r="E12" s="156">
        <f>E6*(Assumptions!B28+Assumptions!B29*0)</f>
        <v/>
      </c>
      <c r="F12" s="156">
        <f>F6*(Assumptions!B28+Assumptions!B29*0)</f>
        <v/>
      </c>
      <c r="G12" s="156">
        <f>G6*(Assumptions!B28+Assumptions!B29*0)</f>
        <v/>
      </c>
      <c r="H12" s="156">
        <f>H6*(Assumptions!B28+Assumptions!B29*0)</f>
        <v/>
      </c>
      <c r="I12" s="156">
        <f>I6*(Assumptions!B28+Assumptions!B29*0)</f>
        <v/>
      </c>
      <c r="J12" s="156">
        <f>J6*(Assumptions!B28+Assumptions!B29*0)</f>
        <v/>
      </c>
      <c r="K12" s="156">
        <f>K6*(Assumptions!B28+Assumptions!B29*0)</f>
        <v/>
      </c>
      <c r="L12" s="156">
        <f>L6*(Assumptions!B28+Assumptions!B29*0)</f>
        <v/>
      </c>
      <c r="M12" s="156">
        <f>M6*(Assumptions!B28+Assumptions!B29*0)</f>
        <v/>
      </c>
      <c r="N12" s="156">
        <f>N6*(Assumptions!B28+Assumptions!B29*0)</f>
        <v/>
      </c>
      <c r="O12" s="156">
        <f>O6*(Assumptions!B28+Assumptions!B29*1)</f>
        <v/>
      </c>
      <c r="P12" s="156">
        <f>P6*(Assumptions!B28+Assumptions!B29*1)</f>
        <v/>
      </c>
      <c r="Q12" s="156">
        <f>Q6*(Assumptions!B28+Assumptions!B29*1)</f>
        <v/>
      </c>
      <c r="R12" s="156">
        <f>R6*(Assumptions!B28+Assumptions!B29*1)</f>
        <v/>
      </c>
      <c r="S12" s="156">
        <f>S6*(Assumptions!B28+Assumptions!B29*1)</f>
        <v/>
      </c>
      <c r="T12" s="156">
        <f>T6*(Assumptions!B28+Assumptions!B29*1)</f>
        <v/>
      </c>
      <c r="U12" s="156">
        <f>U6*(Assumptions!B28+Assumptions!B29*1)</f>
        <v/>
      </c>
      <c r="V12" s="156">
        <f>V6*(Assumptions!B28+Assumptions!B29*1)</f>
        <v/>
      </c>
      <c r="W12" s="156">
        <f>W6*(Assumptions!B28+Assumptions!B29*1)</f>
        <v/>
      </c>
      <c r="X12" s="156">
        <f>X6*(Assumptions!B28+Assumptions!B29*1)</f>
        <v/>
      </c>
      <c r="Y12" s="156">
        <f>Y6*(Assumptions!B28+Assumptions!B29*1)</f>
        <v/>
      </c>
      <c r="Z12" s="156">
        <f>Z6*(Assumptions!B28+Assumptions!B29*1)</f>
        <v/>
      </c>
      <c r="AA12" s="156">
        <f>AA6*(Assumptions!B28+Assumptions!B29*2)</f>
        <v/>
      </c>
      <c r="AB12" s="156">
        <f>AB6*(Assumptions!B28+Assumptions!B29*2)</f>
        <v/>
      </c>
      <c r="AC12" s="156">
        <f>AC6*(Assumptions!B28+Assumptions!B29*2)</f>
        <v/>
      </c>
      <c r="AD12" s="156">
        <f>AD6*(Assumptions!B28+Assumptions!B29*2)</f>
        <v/>
      </c>
      <c r="AE12" s="156">
        <f>AE6*(Assumptions!B28+Assumptions!B29*2)</f>
        <v/>
      </c>
      <c r="AF12" s="156">
        <f>AF6*(Assumptions!B28+Assumptions!B29*2)</f>
        <v/>
      </c>
      <c r="AG12" s="156">
        <f>AG6*(Assumptions!B28+Assumptions!B29*2)</f>
        <v/>
      </c>
      <c r="AH12" s="156">
        <f>AH6*(Assumptions!B28+Assumptions!B29*2)</f>
        <v/>
      </c>
      <c r="AI12" s="156">
        <f>AI6*(Assumptions!B28+Assumptions!B29*2)</f>
        <v/>
      </c>
      <c r="AJ12" s="156">
        <f>AJ6*(Assumptions!B28+Assumptions!B29*2)</f>
        <v/>
      </c>
      <c r="AK12" s="156">
        <f>AK6*(Assumptions!B28+Assumptions!B29*2)</f>
        <v/>
      </c>
      <c r="AL12" s="156">
        <f>AL6*(Assumptions!B28+Assumptions!B29*2)</f>
        <v/>
      </c>
      <c r="AM12" s="156">
        <f>AM6*(Assumptions!B28+Assumptions!B29*3)</f>
        <v/>
      </c>
      <c r="AN12" s="156">
        <f>AN6*(Assumptions!B28+Assumptions!B29*3)</f>
        <v/>
      </c>
      <c r="AO12" s="156">
        <f>AO6*(Assumptions!B28+Assumptions!B29*3)</f>
        <v/>
      </c>
      <c r="AP12" s="156">
        <f>AP6*(Assumptions!B28+Assumptions!B29*3)</f>
        <v/>
      </c>
      <c r="AQ12" s="156">
        <f>AQ6*(Assumptions!B28+Assumptions!B29*3)</f>
        <v/>
      </c>
      <c r="AR12" s="156">
        <f>AR6*(Assumptions!B28+Assumptions!B29*3)</f>
        <v/>
      </c>
      <c r="AS12" s="156">
        <f>AS6*(Assumptions!B28+Assumptions!B29*3)</f>
        <v/>
      </c>
      <c r="AT12" s="156">
        <f>AT6*(Assumptions!B28+Assumptions!B29*3)</f>
        <v/>
      </c>
      <c r="AU12" s="156">
        <f>AU6*(Assumptions!B28+Assumptions!B29*3)</f>
        <v/>
      </c>
      <c r="AV12" s="156">
        <f>AV6*(Assumptions!B28+Assumptions!B29*3)</f>
        <v/>
      </c>
      <c r="AW12" s="156">
        <f>AW6*(Assumptions!B28+Assumptions!B29*3)</f>
        <v/>
      </c>
      <c r="AX12" s="156">
        <f>AX6*(Assumptions!B28+Assumptions!B29*3)</f>
        <v/>
      </c>
      <c r="AY12" s="156">
        <f>AY6*(Assumptions!B28+Assumptions!B29*4)</f>
        <v/>
      </c>
      <c r="AZ12" s="156">
        <f>AZ6*(Assumptions!B28+Assumptions!B29*4)</f>
        <v/>
      </c>
      <c r="BA12" s="156">
        <f>BA6*(Assumptions!B28+Assumptions!B29*4)</f>
        <v/>
      </c>
      <c r="BB12" s="156">
        <f>BB6*(Assumptions!B28+Assumptions!B29*4)</f>
        <v/>
      </c>
      <c r="BC12" s="156">
        <f>BC6*(Assumptions!B28+Assumptions!B29*4)</f>
        <v/>
      </c>
      <c r="BD12" s="156">
        <f>BD6*(Assumptions!B28+Assumptions!B29*4)</f>
        <v/>
      </c>
      <c r="BE12" s="156">
        <f>BE6*(Assumptions!B28+Assumptions!B29*4)</f>
        <v/>
      </c>
      <c r="BF12" s="156">
        <f>BF6*(Assumptions!B28+Assumptions!B29*4)</f>
        <v/>
      </c>
      <c r="BG12" s="156">
        <f>BG6*(Assumptions!B28+Assumptions!B29*4)</f>
        <v/>
      </c>
      <c r="BH12" s="156">
        <f>BH6*(Assumptions!B28+Assumptions!B29*4)</f>
        <v/>
      </c>
      <c r="BI12" s="156">
        <f>BI6*(Assumptions!B28+Assumptions!B29*4)</f>
        <v/>
      </c>
      <c r="BJ12" s="156">
        <f>BJ6*(Assumptions!B28+Assumptions!B29*4)</f>
        <v/>
      </c>
      <c r="BL12" s="157">
        <f>C12+D12+E12+F12+G12+H12+I12+J12+K12+L12+M12+N12</f>
        <v/>
      </c>
      <c r="BM12" s="157">
        <f>O12+P12+Q12+R12+S12+T12+U12+V12+W12+X12+Y12+Z12</f>
        <v/>
      </c>
      <c r="BN12" s="157">
        <f>AA12+AB12+AC12+AD12+AE12+AF12+AG12+AH12+AI12+AJ12+AK12+AL12</f>
        <v/>
      </c>
      <c r="BO12" s="157">
        <f>AM12+AN12+AO12+AP12+AQ12+AR12+AS12+AT12+AU12+AV12+AW12+AX12</f>
        <v/>
      </c>
      <c r="BP12" s="157">
        <f>AY12+AZ12+BA12+BB12+BC12+BD12+BE12+BF12+BG12+BH12+BI12+BJ12</f>
        <v/>
      </c>
    </row>
    <row r="13" ht="15" customHeight="1" s="104">
      <c r="A13" s="215" t="inlineStr">
        <is>
          <t xml:space="preserve">    % of Revenue</t>
        </is>
      </c>
      <c r="C13" s="216">
        <f>IF(C6=0,0,C12/C6)</f>
        <v/>
      </c>
      <c r="D13" s="216">
        <f>IF(D6=0,0,D12/D6)</f>
        <v/>
      </c>
      <c r="E13" s="216">
        <f>IF(E6=0,0,E12/E6)</f>
        <v/>
      </c>
      <c r="F13" s="216">
        <f>IF(F6=0,0,F12/F6)</f>
        <v/>
      </c>
      <c r="G13" s="216">
        <f>IF(G6=0,0,G12/G6)</f>
        <v/>
      </c>
      <c r="H13" s="216">
        <f>IF(H6=0,0,H12/H6)</f>
        <v/>
      </c>
      <c r="I13" s="216">
        <f>IF(I6=0,0,I12/I6)</f>
        <v/>
      </c>
      <c r="J13" s="216">
        <f>IF(J6=0,0,J12/J6)</f>
        <v/>
      </c>
      <c r="K13" s="216">
        <f>IF(K6=0,0,K12/K6)</f>
        <v/>
      </c>
      <c r="L13" s="216">
        <f>IF(L6=0,0,L12/L6)</f>
        <v/>
      </c>
      <c r="M13" s="216">
        <f>IF(M6=0,0,M12/M6)</f>
        <v/>
      </c>
      <c r="N13" s="216">
        <f>IF(N6=0,0,N12/N6)</f>
        <v/>
      </c>
      <c r="O13" s="216">
        <f>IF(O6=0,0,O12/O6)</f>
        <v/>
      </c>
      <c r="P13" s="216">
        <f>IF(P6=0,0,P12/P6)</f>
        <v/>
      </c>
      <c r="Q13" s="216">
        <f>IF(Q6=0,0,Q12/Q6)</f>
        <v/>
      </c>
      <c r="R13" s="216">
        <f>IF(R6=0,0,R12/R6)</f>
        <v/>
      </c>
      <c r="S13" s="216">
        <f>IF(S6=0,0,S12/S6)</f>
        <v/>
      </c>
      <c r="T13" s="216">
        <f>IF(T6=0,0,T12/T6)</f>
        <v/>
      </c>
      <c r="U13" s="216">
        <f>IF(U6=0,0,U12/U6)</f>
        <v/>
      </c>
      <c r="V13" s="216">
        <f>IF(V6=0,0,V12/V6)</f>
        <v/>
      </c>
      <c r="W13" s="216">
        <f>IF(W6=0,0,W12/W6)</f>
        <v/>
      </c>
      <c r="X13" s="216">
        <f>IF(X6=0,0,X12/X6)</f>
        <v/>
      </c>
      <c r="Y13" s="216">
        <f>IF(Y6=0,0,Y12/Y6)</f>
        <v/>
      </c>
      <c r="Z13" s="216">
        <f>IF(Z6=0,0,Z12/Z6)</f>
        <v/>
      </c>
      <c r="AA13" s="216">
        <f>IF(AA6=0,0,AA12/AA6)</f>
        <v/>
      </c>
      <c r="AB13" s="216">
        <f>IF(AB6=0,0,AB12/AB6)</f>
        <v/>
      </c>
      <c r="AC13" s="216">
        <f>IF(AC6=0,0,AC12/AC6)</f>
        <v/>
      </c>
      <c r="AD13" s="216">
        <f>IF(AD6=0,0,AD12/AD6)</f>
        <v/>
      </c>
      <c r="AE13" s="216">
        <f>IF(AE6=0,0,AE12/AE6)</f>
        <v/>
      </c>
      <c r="AF13" s="216">
        <f>IF(AF6=0,0,AF12/AF6)</f>
        <v/>
      </c>
      <c r="AG13" s="216">
        <f>IF(AG6=0,0,AG12/AG6)</f>
        <v/>
      </c>
      <c r="AH13" s="216">
        <f>IF(AH6=0,0,AH12/AH6)</f>
        <v/>
      </c>
      <c r="AI13" s="216">
        <f>IF(AI6=0,0,AI12/AI6)</f>
        <v/>
      </c>
      <c r="AJ13" s="216">
        <f>IF(AJ6=0,0,AJ12/AJ6)</f>
        <v/>
      </c>
      <c r="AK13" s="216">
        <f>IF(AK6=0,0,AK12/AK6)</f>
        <v/>
      </c>
      <c r="AL13" s="216">
        <f>IF(AL6=0,0,AL12/AL6)</f>
        <v/>
      </c>
      <c r="AM13" s="216">
        <f>IF(AM6=0,0,AM12/AM6)</f>
        <v/>
      </c>
      <c r="AN13" s="216">
        <f>IF(AN6=0,0,AN12/AN6)</f>
        <v/>
      </c>
      <c r="AO13" s="216">
        <f>IF(AO6=0,0,AO12/AO6)</f>
        <v/>
      </c>
      <c r="AP13" s="216">
        <f>IF(AP6=0,0,AP12/AP6)</f>
        <v/>
      </c>
      <c r="AQ13" s="216">
        <f>IF(AQ6=0,0,AQ12/AQ6)</f>
        <v/>
      </c>
      <c r="AR13" s="216">
        <f>IF(AR6=0,0,AR12/AR6)</f>
        <v/>
      </c>
      <c r="AS13" s="216">
        <f>IF(AS6=0,0,AS12/AS6)</f>
        <v/>
      </c>
      <c r="AT13" s="216">
        <f>IF(AT6=0,0,AT12/AT6)</f>
        <v/>
      </c>
      <c r="AU13" s="216">
        <f>IF(AU6=0,0,AU12/AU6)</f>
        <v/>
      </c>
      <c r="AV13" s="216">
        <f>IF(AV6=0,0,AV12/AV6)</f>
        <v/>
      </c>
      <c r="AW13" s="216">
        <f>IF(AW6=0,0,AW12/AW6)</f>
        <v/>
      </c>
      <c r="AX13" s="216">
        <f>IF(AX6=0,0,AX12/AX6)</f>
        <v/>
      </c>
      <c r="AY13" s="216">
        <f>IF(AY6=0,0,AY12/AY6)</f>
        <v/>
      </c>
      <c r="AZ13" s="216">
        <f>IF(AZ6=0,0,AZ12/AZ6)</f>
        <v/>
      </c>
      <c r="BA13" s="216">
        <f>IF(BA6=0,0,BA12/BA6)</f>
        <v/>
      </c>
      <c r="BB13" s="216">
        <f>IF(BB6=0,0,BB12/BB6)</f>
        <v/>
      </c>
      <c r="BC13" s="216">
        <f>IF(BC6=0,0,BC12/BC6)</f>
        <v/>
      </c>
      <c r="BD13" s="216">
        <f>IF(BD6=0,0,BD12/BD6)</f>
        <v/>
      </c>
      <c r="BE13" s="216">
        <f>IF(BE6=0,0,BE12/BE6)</f>
        <v/>
      </c>
      <c r="BF13" s="216">
        <f>IF(BF6=0,0,BF12/BF6)</f>
        <v/>
      </c>
      <c r="BG13" s="216">
        <f>IF(BG6=0,0,BG12/BG6)</f>
        <v/>
      </c>
      <c r="BH13" s="216">
        <f>IF(BH6=0,0,BH12/BH6)</f>
        <v/>
      </c>
      <c r="BI13" s="216">
        <f>IF(BI6=0,0,BI12/BI6)</f>
        <v/>
      </c>
      <c r="BJ13" s="216">
        <f>IF(BJ6=0,0,BJ12/BJ6)</f>
        <v/>
      </c>
      <c r="BL13" s="217">
        <f>IF((C6+D6+E6+F6+G6+H6+I6+J6+K6+L6+M6+N6)=0,0,(C12+D12+E12+F12+G12+H12+I12+J12+K12+L12+M12+N12)/(C6+D6+E6+F6+G6+H6+I6+J6+K6+L6+M6+N6))</f>
        <v/>
      </c>
      <c r="BM13" s="217">
        <f>IF((O6+P6+Q6+R6+S6+T6+U6+V6+W6+X6+Y6+Z6)=0,0,(O12+P12+Q12+R12+S12+T12+U12+V12+W12+X12+Y12+Z12)/(O6+P6+Q6+R6+S6+T6+U6+V6+W6+X6+Y6+Z6))</f>
        <v/>
      </c>
      <c r="BN13" s="217">
        <f>IF((AA6+AB6+AC6+AD6+AE6+AF6+AG6+AH6+AI6+AJ6+AK6+AL6)=0,0,(AA12+AB12+AC12+AD12+AE12+AF12+AG12+AH12+AI12+AJ12+AK12+AL12)/(AA6+AB6+AC6+AD6+AE6+AF6+AG6+AH6+AI6+AJ6+AK6+AL6))</f>
        <v/>
      </c>
      <c r="BO13" s="217">
        <f>IF((AM6+AN6+AO6+AP6+AQ6+AR6+AS6+AT6+AU6+AV6+AW6+AX6)=0,0,(AM12+AN12+AO12+AP12+AQ12+AR12+AS12+AT12+AU12+AV12+AW12+AX12)/(AM6+AN6+AO6+AP6+AQ6+AR6+AS6+AT6+AU6+AV6+AW6+AX6))</f>
        <v/>
      </c>
      <c r="BP13" s="217">
        <f>IF((AY6+AZ6+BA6+BB6+BC6+BD6+BE6+BF6+BG6+BH6+BI6+BJ6)=0,0,(AY12+AZ12+BA12+BB12+BC12+BD12+BE12+BF12+BG12+BH12+BI12+BJ12)/(AY6+AZ6+BA6+BB6+BC6+BD6+BE6+BF6+BG6+BH6+BI6+BJ6))</f>
        <v/>
      </c>
    </row>
    <row r="14" ht="15" customHeight="1" s="104">
      <c r="A14" s="107" t="inlineStr">
        <is>
          <t>Technology &amp; Software</t>
        </is>
      </c>
      <c r="C14" s="156">
        <f>C6*(Assumptions!B30+Assumptions!B31*0)</f>
        <v/>
      </c>
      <c r="D14" s="156">
        <f>D6*(Assumptions!B30+Assumptions!B31*0)</f>
        <v/>
      </c>
      <c r="E14" s="156">
        <f>E6*(Assumptions!B30+Assumptions!B31*0)</f>
        <v/>
      </c>
      <c r="F14" s="156">
        <f>F6*(Assumptions!B30+Assumptions!B31*0)</f>
        <v/>
      </c>
      <c r="G14" s="156">
        <f>G6*(Assumptions!B30+Assumptions!B31*0)</f>
        <v/>
      </c>
      <c r="H14" s="156">
        <f>H6*(Assumptions!B30+Assumptions!B31*0)</f>
        <v/>
      </c>
      <c r="I14" s="156">
        <f>I6*(Assumptions!B30+Assumptions!B31*0)</f>
        <v/>
      </c>
      <c r="J14" s="156">
        <f>J6*(Assumptions!B30+Assumptions!B31*0)</f>
        <v/>
      </c>
      <c r="K14" s="156">
        <f>K6*(Assumptions!B30+Assumptions!B31*0)</f>
        <v/>
      </c>
      <c r="L14" s="156">
        <f>L6*(Assumptions!B30+Assumptions!B31*0)</f>
        <v/>
      </c>
      <c r="M14" s="156">
        <f>M6*(Assumptions!B30+Assumptions!B31*0)</f>
        <v/>
      </c>
      <c r="N14" s="156">
        <f>N6*(Assumptions!B30+Assumptions!B31*0)</f>
        <v/>
      </c>
      <c r="O14" s="156">
        <f>O6*(Assumptions!B30+Assumptions!B31*1)</f>
        <v/>
      </c>
      <c r="P14" s="156">
        <f>P6*(Assumptions!B30+Assumptions!B31*1)</f>
        <v/>
      </c>
      <c r="Q14" s="156">
        <f>Q6*(Assumptions!B30+Assumptions!B31*1)</f>
        <v/>
      </c>
      <c r="R14" s="156">
        <f>R6*(Assumptions!B30+Assumptions!B31*1)</f>
        <v/>
      </c>
      <c r="S14" s="156">
        <f>S6*(Assumptions!B30+Assumptions!B31*1)</f>
        <v/>
      </c>
      <c r="T14" s="156">
        <f>T6*(Assumptions!B30+Assumptions!B31*1)</f>
        <v/>
      </c>
      <c r="U14" s="156">
        <f>U6*(Assumptions!B30+Assumptions!B31*1)</f>
        <v/>
      </c>
      <c r="V14" s="156">
        <f>V6*(Assumptions!B30+Assumptions!B31*1)</f>
        <v/>
      </c>
      <c r="W14" s="156">
        <f>W6*(Assumptions!B30+Assumptions!B31*1)</f>
        <v/>
      </c>
      <c r="X14" s="156">
        <f>X6*(Assumptions!B30+Assumptions!B31*1)</f>
        <v/>
      </c>
      <c r="Y14" s="156">
        <f>Y6*(Assumptions!B30+Assumptions!B31*1)</f>
        <v/>
      </c>
      <c r="Z14" s="156">
        <f>Z6*(Assumptions!B30+Assumptions!B31*1)</f>
        <v/>
      </c>
      <c r="AA14" s="156">
        <f>AA6*(Assumptions!B30+Assumptions!B31*2)</f>
        <v/>
      </c>
      <c r="AB14" s="156">
        <f>AB6*(Assumptions!B30+Assumptions!B31*2)</f>
        <v/>
      </c>
      <c r="AC14" s="156">
        <f>AC6*(Assumptions!B30+Assumptions!B31*2)</f>
        <v/>
      </c>
      <c r="AD14" s="156">
        <f>AD6*(Assumptions!B30+Assumptions!B31*2)</f>
        <v/>
      </c>
      <c r="AE14" s="156">
        <f>AE6*(Assumptions!B30+Assumptions!B31*2)</f>
        <v/>
      </c>
      <c r="AF14" s="156">
        <f>AF6*(Assumptions!B30+Assumptions!B31*2)</f>
        <v/>
      </c>
      <c r="AG14" s="156">
        <f>AG6*(Assumptions!B30+Assumptions!B31*2)</f>
        <v/>
      </c>
      <c r="AH14" s="156">
        <f>AH6*(Assumptions!B30+Assumptions!B31*2)</f>
        <v/>
      </c>
      <c r="AI14" s="156">
        <f>AI6*(Assumptions!B30+Assumptions!B31*2)</f>
        <v/>
      </c>
      <c r="AJ14" s="156">
        <f>AJ6*(Assumptions!B30+Assumptions!B31*2)</f>
        <v/>
      </c>
      <c r="AK14" s="156">
        <f>AK6*(Assumptions!B30+Assumptions!B31*2)</f>
        <v/>
      </c>
      <c r="AL14" s="156">
        <f>AL6*(Assumptions!B30+Assumptions!B31*2)</f>
        <v/>
      </c>
      <c r="AM14" s="156">
        <f>AM6*(Assumptions!B30+Assumptions!B31*3)</f>
        <v/>
      </c>
      <c r="AN14" s="156">
        <f>AN6*(Assumptions!B30+Assumptions!B31*3)</f>
        <v/>
      </c>
      <c r="AO14" s="156">
        <f>AO6*(Assumptions!B30+Assumptions!B31*3)</f>
        <v/>
      </c>
      <c r="AP14" s="156">
        <f>AP6*(Assumptions!B30+Assumptions!B31*3)</f>
        <v/>
      </c>
      <c r="AQ14" s="156">
        <f>AQ6*(Assumptions!B30+Assumptions!B31*3)</f>
        <v/>
      </c>
      <c r="AR14" s="156">
        <f>AR6*(Assumptions!B30+Assumptions!B31*3)</f>
        <v/>
      </c>
      <c r="AS14" s="156">
        <f>AS6*(Assumptions!B30+Assumptions!B31*3)</f>
        <v/>
      </c>
      <c r="AT14" s="156">
        <f>AT6*(Assumptions!B30+Assumptions!B31*3)</f>
        <v/>
      </c>
      <c r="AU14" s="156">
        <f>AU6*(Assumptions!B30+Assumptions!B31*3)</f>
        <v/>
      </c>
      <c r="AV14" s="156">
        <f>AV6*(Assumptions!B30+Assumptions!B31*3)</f>
        <v/>
      </c>
      <c r="AW14" s="156">
        <f>AW6*(Assumptions!B30+Assumptions!B31*3)</f>
        <v/>
      </c>
      <c r="AX14" s="156">
        <f>AX6*(Assumptions!B30+Assumptions!B31*3)</f>
        <v/>
      </c>
      <c r="AY14" s="156">
        <f>AY6*(Assumptions!B30+Assumptions!B31*4)</f>
        <v/>
      </c>
      <c r="AZ14" s="156">
        <f>AZ6*(Assumptions!B30+Assumptions!B31*4)</f>
        <v/>
      </c>
      <c r="BA14" s="156">
        <f>BA6*(Assumptions!B30+Assumptions!B31*4)</f>
        <v/>
      </c>
      <c r="BB14" s="156">
        <f>BB6*(Assumptions!B30+Assumptions!B31*4)</f>
        <v/>
      </c>
      <c r="BC14" s="156">
        <f>BC6*(Assumptions!B30+Assumptions!B31*4)</f>
        <v/>
      </c>
      <c r="BD14" s="156">
        <f>BD6*(Assumptions!B30+Assumptions!B31*4)</f>
        <v/>
      </c>
      <c r="BE14" s="156">
        <f>BE6*(Assumptions!B30+Assumptions!B31*4)</f>
        <v/>
      </c>
      <c r="BF14" s="156">
        <f>BF6*(Assumptions!B30+Assumptions!B31*4)</f>
        <v/>
      </c>
      <c r="BG14" s="156">
        <f>BG6*(Assumptions!B30+Assumptions!B31*4)</f>
        <v/>
      </c>
      <c r="BH14" s="156">
        <f>BH6*(Assumptions!B30+Assumptions!B31*4)</f>
        <v/>
      </c>
      <c r="BI14" s="156">
        <f>BI6*(Assumptions!B30+Assumptions!B31*4)</f>
        <v/>
      </c>
      <c r="BJ14" s="156">
        <f>BJ6*(Assumptions!B30+Assumptions!B31*4)</f>
        <v/>
      </c>
      <c r="BL14" s="157">
        <f>C14+D14+E14+F14+G14+H14+I14+J14+K14+L14+M14+N14</f>
        <v/>
      </c>
      <c r="BM14" s="157">
        <f>O14+P14+Q14+R14+S14+T14+U14+V14+W14+X14+Y14+Z14</f>
        <v/>
      </c>
      <c r="BN14" s="157">
        <f>AA14+AB14+AC14+AD14+AE14+AF14+AG14+AH14+AI14+AJ14+AK14+AL14</f>
        <v/>
      </c>
      <c r="BO14" s="157">
        <f>AM14+AN14+AO14+AP14+AQ14+AR14+AS14+AT14+AU14+AV14+AW14+AX14</f>
        <v/>
      </c>
      <c r="BP14" s="157">
        <f>AY14+AZ14+BA14+BB14+BC14+BD14+BE14+BF14+BG14+BH14+BI14+BJ14</f>
        <v/>
      </c>
    </row>
    <row r="15" ht="15" customHeight="1" s="104">
      <c r="A15" s="215" t="inlineStr">
        <is>
          <t xml:space="preserve">    % of Revenue</t>
        </is>
      </c>
      <c r="C15" s="216">
        <f>IF(C6=0,0,C14/C6)</f>
        <v/>
      </c>
      <c r="D15" s="216">
        <f>IF(D6=0,0,D14/D6)</f>
        <v/>
      </c>
      <c r="E15" s="216">
        <f>IF(E6=0,0,E14/E6)</f>
        <v/>
      </c>
      <c r="F15" s="216">
        <f>IF(F6=0,0,F14/F6)</f>
        <v/>
      </c>
      <c r="G15" s="216">
        <f>IF(G6=0,0,G14/G6)</f>
        <v/>
      </c>
      <c r="H15" s="216">
        <f>IF(H6=0,0,H14/H6)</f>
        <v/>
      </c>
      <c r="I15" s="216">
        <f>IF(I6=0,0,I14/I6)</f>
        <v/>
      </c>
      <c r="J15" s="216">
        <f>IF(J6=0,0,J14/J6)</f>
        <v/>
      </c>
      <c r="K15" s="216">
        <f>IF(K6=0,0,K14/K6)</f>
        <v/>
      </c>
      <c r="L15" s="216">
        <f>IF(L6=0,0,L14/L6)</f>
        <v/>
      </c>
      <c r="M15" s="216">
        <f>IF(M6=0,0,M14/M6)</f>
        <v/>
      </c>
      <c r="N15" s="216">
        <f>IF(N6=0,0,N14/N6)</f>
        <v/>
      </c>
      <c r="O15" s="216">
        <f>IF(O6=0,0,O14/O6)</f>
        <v/>
      </c>
      <c r="P15" s="216">
        <f>IF(P6=0,0,P14/P6)</f>
        <v/>
      </c>
      <c r="Q15" s="216">
        <f>IF(Q6=0,0,Q14/Q6)</f>
        <v/>
      </c>
      <c r="R15" s="216">
        <f>IF(R6=0,0,R14/R6)</f>
        <v/>
      </c>
      <c r="S15" s="216">
        <f>IF(S6=0,0,S14/S6)</f>
        <v/>
      </c>
      <c r="T15" s="216">
        <f>IF(T6=0,0,T14/T6)</f>
        <v/>
      </c>
      <c r="U15" s="216">
        <f>IF(U6=0,0,U14/U6)</f>
        <v/>
      </c>
      <c r="V15" s="216">
        <f>IF(V6=0,0,V14/V6)</f>
        <v/>
      </c>
      <c r="W15" s="216">
        <f>IF(W6=0,0,W14/W6)</f>
        <v/>
      </c>
      <c r="X15" s="216">
        <f>IF(X6=0,0,X14/X6)</f>
        <v/>
      </c>
      <c r="Y15" s="216">
        <f>IF(Y6=0,0,Y14/Y6)</f>
        <v/>
      </c>
      <c r="Z15" s="216">
        <f>IF(Z6=0,0,Z14/Z6)</f>
        <v/>
      </c>
      <c r="AA15" s="216">
        <f>IF(AA6=0,0,AA14/AA6)</f>
        <v/>
      </c>
      <c r="AB15" s="216">
        <f>IF(AB6=0,0,AB14/AB6)</f>
        <v/>
      </c>
      <c r="AC15" s="216">
        <f>IF(AC6=0,0,AC14/AC6)</f>
        <v/>
      </c>
      <c r="AD15" s="216">
        <f>IF(AD6=0,0,AD14/AD6)</f>
        <v/>
      </c>
      <c r="AE15" s="216">
        <f>IF(AE6=0,0,AE14/AE6)</f>
        <v/>
      </c>
      <c r="AF15" s="216">
        <f>IF(AF6=0,0,AF14/AF6)</f>
        <v/>
      </c>
      <c r="AG15" s="216">
        <f>IF(AG6=0,0,AG14/AG6)</f>
        <v/>
      </c>
      <c r="AH15" s="216">
        <f>IF(AH6=0,0,AH14/AH6)</f>
        <v/>
      </c>
      <c r="AI15" s="216">
        <f>IF(AI6=0,0,AI14/AI6)</f>
        <v/>
      </c>
      <c r="AJ15" s="216">
        <f>IF(AJ6=0,0,AJ14/AJ6)</f>
        <v/>
      </c>
      <c r="AK15" s="216">
        <f>IF(AK6=0,0,AK14/AK6)</f>
        <v/>
      </c>
      <c r="AL15" s="216">
        <f>IF(AL6=0,0,AL14/AL6)</f>
        <v/>
      </c>
      <c r="AM15" s="216">
        <f>IF(AM6=0,0,AM14/AM6)</f>
        <v/>
      </c>
      <c r="AN15" s="216">
        <f>IF(AN6=0,0,AN14/AN6)</f>
        <v/>
      </c>
      <c r="AO15" s="216">
        <f>IF(AO6=0,0,AO14/AO6)</f>
        <v/>
      </c>
      <c r="AP15" s="216">
        <f>IF(AP6=0,0,AP14/AP6)</f>
        <v/>
      </c>
      <c r="AQ15" s="216">
        <f>IF(AQ6=0,0,AQ14/AQ6)</f>
        <v/>
      </c>
      <c r="AR15" s="216">
        <f>IF(AR6=0,0,AR14/AR6)</f>
        <v/>
      </c>
      <c r="AS15" s="216">
        <f>IF(AS6=0,0,AS14/AS6)</f>
        <v/>
      </c>
      <c r="AT15" s="216">
        <f>IF(AT6=0,0,AT14/AT6)</f>
        <v/>
      </c>
      <c r="AU15" s="216">
        <f>IF(AU6=0,0,AU14/AU6)</f>
        <v/>
      </c>
      <c r="AV15" s="216">
        <f>IF(AV6=0,0,AV14/AV6)</f>
        <v/>
      </c>
      <c r="AW15" s="216">
        <f>IF(AW6=0,0,AW14/AW6)</f>
        <v/>
      </c>
      <c r="AX15" s="216">
        <f>IF(AX6=0,0,AX14/AX6)</f>
        <v/>
      </c>
      <c r="AY15" s="216">
        <f>IF(AY6=0,0,AY14/AY6)</f>
        <v/>
      </c>
      <c r="AZ15" s="216">
        <f>IF(AZ6=0,0,AZ14/AZ6)</f>
        <v/>
      </c>
      <c r="BA15" s="216">
        <f>IF(BA6=0,0,BA14/BA6)</f>
        <v/>
      </c>
      <c r="BB15" s="216">
        <f>IF(BB6=0,0,BB14/BB6)</f>
        <v/>
      </c>
      <c r="BC15" s="216">
        <f>IF(BC6=0,0,BC14/BC6)</f>
        <v/>
      </c>
      <c r="BD15" s="216">
        <f>IF(BD6=0,0,BD14/BD6)</f>
        <v/>
      </c>
      <c r="BE15" s="216">
        <f>IF(BE6=0,0,BE14/BE6)</f>
        <v/>
      </c>
      <c r="BF15" s="216">
        <f>IF(BF6=0,0,BF14/BF6)</f>
        <v/>
      </c>
      <c r="BG15" s="216">
        <f>IF(BG6=0,0,BG14/BG6)</f>
        <v/>
      </c>
      <c r="BH15" s="216">
        <f>IF(BH6=0,0,BH14/BH6)</f>
        <v/>
      </c>
      <c r="BI15" s="216">
        <f>IF(BI6=0,0,BI14/BI6)</f>
        <v/>
      </c>
      <c r="BJ15" s="216">
        <f>IF(BJ6=0,0,BJ14/BJ6)</f>
        <v/>
      </c>
      <c r="BL15" s="217">
        <f>IF((C6+D6+E6+F6+G6+H6+I6+J6+K6+L6+M6+N6)=0,0,(C14+D14+E14+F14+G14+H14+I14+J14+K14+L14+M14+N14)/(C6+D6+E6+F6+G6+H6+I6+J6+K6+L6+M6+N6))</f>
        <v/>
      </c>
      <c r="BM15" s="217">
        <f>IF((O6+P6+Q6+R6+S6+T6+U6+V6+W6+X6+Y6+Z6)=0,0,(O14+P14+Q14+R14+S14+T14+U14+V14+W14+X14+Y14+Z14)/(O6+P6+Q6+R6+S6+T6+U6+V6+W6+X6+Y6+Z6))</f>
        <v/>
      </c>
      <c r="BN15" s="217">
        <f>IF((AA6+AB6+AC6+AD6+AE6+AF6+AG6+AH6+AI6+AJ6+AK6+AL6)=0,0,(AA14+AB14+AC14+AD14+AE14+AF14+AG14+AH14+AI14+AJ14+AK14+AL14)/(AA6+AB6+AC6+AD6+AE6+AF6+AG6+AH6+AI6+AJ6+AK6+AL6))</f>
        <v/>
      </c>
      <c r="BO15" s="217">
        <f>IF((AM6+AN6+AO6+AP6+AQ6+AR6+AS6+AT6+AU6+AV6+AW6+AX6)=0,0,(AM14+AN14+AO14+AP14+AQ14+AR14+AS14+AT14+AU14+AV14+AW14+AX14)/(AM6+AN6+AO6+AP6+AQ6+AR6+AS6+AT6+AU6+AV6+AW6+AX6))</f>
        <v/>
      </c>
      <c r="BP15" s="217">
        <f>IF((AY6+AZ6+BA6+BB6+BC6+BD6+BE6+BF6+BG6+BH6+BI6+BJ6)=0,0,(AY14+AZ14+BA14+BB14+BC14+BD14+BE14+BF14+BG14+BH14+BI14+BJ14)/(AY6+AZ6+BA6+BB6+BC6+BD6+BE6+BF6+BG6+BH6+BI6+BJ6))</f>
        <v/>
      </c>
    </row>
    <row r="16" ht="15" customHeight="1" s="104">
      <c r="A16" s="107" t="inlineStr">
        <is>
          <t>Insurance</t>
        </is>
      </c>
      <c r="C16" s="156">
        <f>C6*(Assumptions!B32+Assumptions!B33*0)</f>
        <v/>
      </c>
      <c r="D16" s="156">
        <f>D6*(Assumptions!B32+Assumptions!B33*0)</f>
        <v/>
      </c>
      <c r="E16" s="156">
        <f>E6*(Assumptions!B32+Assumptions!B33*0)</f>
        <v/>
      </c>
      <c r="F16" s="156">
        <f>F6*(Assumptions!B32+Assumptions!B33*0)</f>
        <v/>
      </c>
      <c r="G16" s="156">
        <f>G6*(Assumptions!B32+Assumptions!B33*0)</f>
        <v/>
      </c>
      <c r="H16" s="156">
        <f>H6*(Assumptions!B32+Assumptions!B33*0)</f>
        <v/>
      </c>
      <c r="I16" s="156">
        <f>I6*(Assumptions!B32+Assumptions!B33*0)</f>
        <v/>
      </c>
      <c r="J16" s="156">
        <f>J6*(Assumptions!B32+Assumptions!B33*0)</f>
        <v/>
      </c>
      <c r="K16" s="156">
        <f>K6*(Assumptions!B32+Assumptions!B33*0)</f>
        <v/>
      </c>
      <c r="L16" s="156">
        <f>L6*(Assumptions!B32+Assumptions!B33*0)</f>
        <v/>
      </c>
      <c r="M16" s="156">
        <f>M6*(Assumptions!B32+Assumptions!B33*0)</f>
        <v/>
      </c>
      <c r="N16" s="156">
        <f>N6*(Assumptions!B32+Assumptions!B33*0)</f>
        <v/>
      </c>
      <c r="O16" s="156">
        <f>O6*(Assumptions!B32+Assumptions!B33*1)</f>
        <v/>
      </c>
      <c r="P16" s="156">
        <f>P6*(Assumptions!B32+Assumptions!B33*1)</f>
        <v/>
      </c>
      <c r="Q16" s="156">
        <f>Q6*(Assumptions!B32+Assumptions!B33*1)</f>
        <v/>
      </c>
      <c r="R16" s="156">
        <f>R6*(Assumptions!B32+Assumptions!B33*1)</f>
        <v/>
      </c>
      <c r="S16" s="156">
        <f>S6*(Assumptions!B32+Assumptions!B33*1)</f>
        <v/>
      </c>
      <c r="T16" s="156">
        <f>T6*(Assumptions!B32+Assumptions!B33*1)</f>
        <v/>
      </c>
      <c r="U16" s="156">
        <f>U6*(Assumptions!B32+Assumptions!B33*1)</f>
        <v/>
      </c>
      <c r="V16" s="156">
        <f>V6*(Assumptions!B32+Assumptions!B33*1)</f>
        <v/>
      </c>
      <c r="W16" s="156">
        <f>W6*(Assumptions!B32+Assumptions!B33*1)</f>
        <v/>
      </c>
      <c r="X16" s="156">
        <f>X6*(Assumptions!B32+Assumptions!B33*1)</f>
        <v/>
      </c>
      <c r="Y16" s="156">
        <f>Y6*(Assumptions!B32+Assumptions!B33*1)</f>
        <v/>
      </c>
      <c r="Z16" s="156">
        <f>Z6*(Assumptions!B32+Assumptions!B33*1)</f>
        <v/>
      </c>
      <c r="AA16" s="156">
        <f>AA6*(Assumptions!B32+Assumptions!B33*2)</f>
        <v/>
      </c>
      <c r="AB16" s="156">
        <f>AB6*(Assumptions!B32+Assumptions!B33*2)</f>
        <v/>
      </c>
      <c r="AC16" s="156">
        <f>AC6*(Assumptions!B32+Assumptions!B33*2)</f>
        <v/>
      </c>
      <c r="AD16" s="156">
        <f>AD6*(Assumptions!B32+Assumptions!B33*2)</f>
        <v/>
      </c>
      <c r="AE16" s="156">
        <f>AE6*(Assumptions!B32+Assumptions!B33*2)</f>
        <v/>
      </c>
      <c r="AF16" s="156">
        <f>AF6*(Assumptions!B32+Assumptions!B33*2)</f>
        <v/>
      </c>
      <c r="AG16" s="156">
        <f>AG6*(Assumptions!B32+Assumptions!B33*2)</f>
        <v/>
      </c>
      <c r="AH16" s="156">
        <f>AH6*(Assumptions!B32+Assumptions!B33*2)</f>
        <v/>
      </c>
      <c r="AI16" s="156">
        <f>AI6*(Assumptions!B32+Assumptions!B33*2)</f>
        <v/>
      </c>
      <c r="AJ16" s="156">
        <f>AJ6*(Assumptions!B32+Assumptions!B33*2)</f>
        <v/>
      </c>
      <c r="AK16" s="156">
        <f>AK6*(Assumptions!B32+Assumptions!B33*2)</f>
        <v/>
      </c>
      <c r="AL16" s="156">
        <f>AL6*(Assumptions!B32+Assumptions!B33*2)</f>
        <v/>
      </c>
      <c r="AM16" s="156">
        <f>AM6*(Assumptions!B32+Assumptions!B33*3)</f>
        <v/>
      </c>
      <c r="AN16" s="156">
        <f>AN6*(Assumptions!B32+Assumptions!B33*3)</f>
        <v/>
      </c>
      <c r="AO16" s="156">
        <f>AO6*(Assumptions!B32+Assumptions!B33*3)</f>
        <v/>
      </c>
      <c r="AP16" s="156">
        <f>AP6*(Assumptions!B32+Assumptions!B33*3)</f>
        <v/>
      </c>
      <c r="AQ16" s="156">
        <f>AQ6*(Assumptions!B32+Assumptions!B33*3)</f>
        <v/>
      </c>
      <c r="AR16" s="156">
        <f>AR6*(Assumptions!B32+Assumptions!B33*3)</f>
        <v/>
      </c>
      <c r="AS16" s="156">
        <f>AS6*(Assumptions!B32+Assumptions!B33*3)</f>
        <v/>
      </c>
      <c r="AT16" s="156">
        <f>AT6*(Assumptions!B32+Assumptions!B33*3)</f>
        <v/>
      </c>
      <c r="AU16" s="156">
        <f>AU6*(Assumptions!B32+Assumptions!B33*3)</f>
        <v/>
      </c>
      <c r="AV16" s="156">
        <f>AV6*(Assumptions!B32+Assumptions!B33*3)</f>
        <v/>
      </c>
      <c r="AW16" s="156">
        <f>AW6*(Assumptions!B32+Assumptions!B33*3)</f>
        <v/>
      </c>
      <c r="AX16" s="156">
        <f>AX6*(Assumptions!B32+Assumptions!B33*3)</f>
        <v/>
      </c>
      <c r="AY16" s="156">
        <f>AY6*(Assumptions!B32+Assumptions!B33*4)</f>
        <v/>
      </c>
      <c r="AZ16" s="156">
        <f>AZ6*(Assumptions!B32+Assumptions!B33*4)</f>
        <v/>
      </c>
      <c r="BA16" s="156">
        <f>BA6*(Assumptions!B32+Assumptions!B33*4)</f>
        <v/>
      </c>
      <c r="BB16" s="156">
        <f>BB6*(Assumptions!B32+Assumptions!B33*4)</f>
        <v/>
      </c>
      <c r="BC16" s="156">
        <f>BC6*(Assumptions!B32+Assumptions!B33*4)</f>
        <v/>
      </c>
      <c r="BD16" s="156">
        <f>BD6*(Assumptions!B32+Assumptions!B33*4)</f>
        <v/>
      </c>
      <c r="BE16" s="156">
        <f>BE6*(Assumptions!B32+Assumptions!B33*4)</f>
        <v/>
      </c>
      <c r="BF16" s="156">
        <f>BF6*(Assumptions!B32+Assumptions!B33*4)</f>
        <v/>
      </c>
      <c r="BG16" s="156">
        <f>BG6*(Assumptions!B32+Assumptions!B33*4)</f>
        <v/>
      </c>
      <c r="BH16" s="156">
        <f>BH6*(Assumptions!B32+Assumptions!B33*4)</f>
        <v/>
      </c>
      <c r="BI16" s="156">
        <f>BI6*(Assumptions!B32+Assumptions!B33*4)</f>
        <v/>
      </c>
      <c r="BJ16" s="156">
        <f>BJ6*(Assumptions!B32+Assumptions!B33*4)</f>
        <v/>
      </c>
      <c r="BL16" s="157">
        <f>C16+D16+E16+F16+G16+H16+I16+J16+K16+L16+M16+N16</f>
        <v/>
      </c>
      <c r="BM16" s="157">
        <f>O16+P16+Q16+R16+S16+T16+U16+V16+W16+X16+Y16+Z16</f>
        <v/>
      </c>
      <c r="BN16" s="157">
        <f>AA16+AB16+AC16+AD16+AE16+AF16+AG16+AH16+AI16+AJ16+AK16+AL16</f>
        <v/>
      </c>
      <c r="BO16" s="157">
        <f>AM16+AN16+AO16+AP16+AQ16+AR16+AS16+AT16+AU16+AV16+AW16+AX16</f>
        <v/>
      </c>
      <c r="BP16" s="157">
        <f>AY16+AZ16+BA16+BB16+BC16+BD16+BE16+BF16+BG16+BH16+BI16+BJ16</f>
        <v/>
      </c>
    </row>
    <row r="17" ht="15" customHeight="1" s="104">
      <c r="A17" s="215" t="inlineStr">
        <is>
          <t xml:space="preserve">    % of Revenue</t>
        </is>
      </c>
      <c r="C17" s="216">
        <f>IF(C6=0,0,C16/C6)</f>
        <v/>
      </c>
      <c r="D17" s="216">
        <f>IF(D6=0,0,D16/D6)</f>
        <v/>
      </c>
      <c r="E17" s="216">
        <f>IF(E6=0,0,E16/E6)</f>
        <v/>
      </c>
      <c r="F17" s="216">
        <f>IF(F6=0,0,F16/F6)</f>
        <v/>
      </c>
      <c r="G17" s="216">
        <f>IF(G6=0,0,G16/G6)</f>
        <v/>
      </c>
      <c r="H17" s="216">
        <f>IF(H6=0,0,H16/H6)</f>
        <v/>
      </c>
      <c r="I17" s="216">
        <f>IF(I6=0,0,I16/I6)</f>
        <v/>
      </c>
      <c r="J17" s="216">
        <f>IF(J6=0,0,J16/J6)</f>
        <v/>
      </c>
      <c r="K17" s="216">
        <f>IF(K6=0,0,K16/K6)</f>
        <v/>
      </c>
      <c r="L17" s="216">
        <f>IF(L6=0,0,L16/L6)</f>
        <v/>
      </c>
      <c r="M17" s="216">
        <f>IF(M6=0,0,M16/M6)</f>
        <v/>
      </c>
      <c r="N17" s="216">
        <f>IF(N6=0,0,N16/N6)</f>
        <v/>
      </c>
      <c r="O17" s="216">
        <f>IF(O6=0,0,O16/O6)</f>
        <v/>
      </c>
      <c r="P17" s="216">
        <f>IF(P6=0,0,P16/P6)</f>
        <v/>
      </c>
      <c r="Q17" s="216">
        <f>IF(Q6=0,0,Q16/Q6)</f>
        <v/>
      </c>
      <c r="R17" s="216">
        <f>IF(R6=0,0,R16/R6)</f>
        <v/>
      </c>
      <c r="S17" s="216">
        <f>IF(S6=0,0,S16/S6)</f>
        <v/>
      </c>
      <c r="T17" s="216">
        <f>IF(T6=0,0,T16/T6)</f>
        <v/>
      </c>
      <c r="U17" s="216">
        <f>IF(U6=0,0,U16/U6)</f>
        <v/>
      </c>
      <c r="V17" s="216">
        <f>IF(V6=0,0,V16/V6)</f>
        <v/>
      </c>
      <c r="W17" s="216">
        <f>IF(W6=0,0,W16/W6)</f>
        <v/>
      </c>
      <c r="X17" s="216">
        <f>IF(X6=0,0,X16/X6)</f>
        <v/>
      </c>
      <c r="Y17" s="216">
        <f>IF(Y6=0,0,Y16/Y6)</f>
        <v/>
      </c>
      <c r="Z17" s="216">
        <f>IF(Z6=0,0,Z16/Z6)</f>
        <v/>
      </c>
      <c r="AA17" s="216">
        <f>IF(AA6=0,0,AA16/AA6)</f>
        <v/>
      </c>
      <c r="AB17" s="216">
        <f>IF(AB6=0,0,AB16/AB6)</f>
        <v/>
      </c>
      <c r="AC17" s="216">
        <f>IF(AC6=0,0,AC16/AC6)</f>
        <v/>
      </c>
      <c r="AD17" s="216">
        <f>IF(AD6=0,0,AD16/AD6)</f>
        <v/>
      </c>
      <c r="AE17" s="216">
        <f>IF(AE6=0,0,AE16/AE6)</f>
        <v/>
      </c>
      <c r="AF17" s="216">
        <f>IF(AF6=0,0,AF16/AF6)</f>
        <v/>
      </c>
      <c r="AG17" s="216">
        <f>IF(AG6=0,0,AG16/AG6)</f>
        <v/>
      </c>
      <c r="AH17" s="216">
        <f>IF(AH6=0,0,AH16/AH6)</f>
        <v/>
      </c>
      <c r="AI17" s="216">
        <f>IF(AI6=0,0,AI16/AI6)</f>
        <v/>
      </c>
      <c r="AJ17" s="216">
        <f>IF(AJ6=0,0,AJ16/AJ6)</f>
        <v/>
      </c>
      <c r="AK17" s="216">
        <f>IF(AK6=0,0,AK16/AK6)</f>
        <v/>
      </c>
      <c r="AL17" s="216">
        <f>IF(AL6=0,0,AL16/AL6)</f>
        <v/>
      </c>
      <c r="AM17" s="216">
        <f>IF(AM6=0,0,AM16/AM6)</f>
        <v/>
      </c>
      <c r="AN17" s="216">
        <f>IF(AN6=0,0,AN16/AN6)</f>
        <v/>
      </c>
      <c r="AO17" s="216">
        <f>IF(AO6=0,0,AO16/AO6)</f>
        <v/>
      </c>
      <c r="AP17" s="216">
        <f>IF(AP6=0,0,AP16/AP6)</f>
        <v/>
      </c>
      <c r="AQ17" s="216">
        <f>IF(AQ6=0,0,AQ16/AQ6)</f>
        <v/>
      </c>
      <c r="AR17" s="216">
        <f>IF(AR6=0,0,AR16/AR6)</f>
        <v/>
      </c>
      <c r="AS17" s="216">
        <f>IF(AS6=0,0,AS16/AS6)</f>
        <v/>
      </c>
      <c r="AT17" s="216">
        <f>IF(AT6=0,0,AT16/AT6)</f>
        <v/>
      </c>
      <c r="AU17" s="216">
        <f>IF(AU6=0,0,AU16/AU6)</f>
        <v/>
      </c>
      <c r="AV17" s="216">
        <f>IF(AV6=0,0,AV16/AV6)</f>
        <v/>
      </c>
      <c r="AW17" s="216">
        <f>IF(AW6=0,0,AW16/AW6)</f>
        <v/>
      </c>
      <c r="AX17" s="216">
        <f>IF(AX6=0,0,AX16/AX6)</f>
        <v/>
      </c>
      <c r="AY17" s="216">
        <f>IF(AY6=0,0,AY16/AY6)</f>
        <v/>
      </c>
      <c r="AZ17" s="216">
        <f>IF(AZ6=0,0,AZ16/AZ6)</f>
        <v/>
      </c>
      <c r="BA17" s="216">
        <f>IF(BA6=0,0,BA16/BA6)</f>
        <v/>
      </c>
      <c r="BB17" s="216">
        <f>IF(BB6=0,0,BB16/BB6)</f>
        <v/>
      </c>
      <c r="BC17" s="216">
        <f>IF(BC6=0,0,BC16/BC6)</f>
        <v/>
      </c>
      <c r="BD17" s="216">
        <f>IF(BD6=0,0,BD16/BD6)</f>
        <v/>
      </c>
      <c r="BE17" s="216">
        <f>IF(BE6=0,0,BE16/BE6)</f>
        <v/>
      </c>
      <c r="BF17" s="216">
        <f>IF(BF6=0,0,BF16/BF6)</f>
        <v/>
      </c>
      <c r="BG17" s="216">
        <f>IF(BG6=0,0,BG16/BG6)</f>
        <v/>
      </c>
      <c r="BH17" s="216">
        <f>IF(BH6=0,0,BH16/BH6)</f>
        <v/>
      </c>
      <c r="BI17" s="216">
        <f>IF(BI6=0,0,BI16/BI6)</f>
        <v/>
      </c>
      <c r="BJ17" s="216">
        <f>IF(BJ6=0,0,BJ16/BJ6)</f>
        <v/>
      </c>
      <c r="BL17" s="217">
        <f>IF((C6+D6+E6+F6+G6+H6+I6+J6+K6+L6+M6+N6)=0,0,(C16+D16+E16+F16+G16+H16+I16+J16+K16+L16+M16+N16)/(C6+D6+E6+F6+G6+H6+I6+J6+K6+L6+M6+N6))</f>
        <v/>
      </c>
      <c r="BM17" s="217">
        <f>IF((O6+P6+Q6+R6+S6+T6+U6+V6+W6+X6+Y6+Z6)=0,0,(O16+P16+Q16+R16+S16+T16+U16+V16+W16+X16+Y16+Z16)/(O6+P6+Q6+R6+S6+T6+U6+V6+W6+X6+Y6+Z6))</f>
        <v/>
      </c>
      <c r="BN17" s="217">
        <f>IF((AA6+AB6+AC6+AD6+AE6+AF6+AG6+AH6+AI6+AJ6+AK6+AL6)=0,0,(AA16+AB16+AC16+AD16+AE16+AF16+AG16+AH16+AI16+AJ16+AK16+AL16)/(AA6+AB6+AC6+AD6+AE6+AF6+AG6+AH6+AI6+AJ6+AK6+AL6))</f>
        <v/>
      </c>
      <c r="BO17" s="217">
        <f>IF((AM6+AN6+AO6+AP6+AQ6+AR6+AS6+AT6+AU6+AV6+AW6+AX6)=0,0,(AM16+AN16+AO16+AP16+AQ16+AR16+AS16+AT16+AU16+AV16+AW16+AX16)/(AM6+AN6+AO6+AP6+AQ6+AR6+AS6+AT6+AU6+AV6+AW6+AX6))</f>
        <v/>
      </c>
      <c r="BP17" s="217">
        <f>IF((AY6+AZ6+BA6+BB6+BC6+BD6+BE6+BF6+BG6+BH6+BI6+BJ6)=0,0,(AY16+AZ16+BA16+BB16+BC16+BD16+BE16+BF16+BG16+BH16+BI16+BJ16)/(AY6+AZ6+BA6+BB6+BC6+BD6+BE6+BF6+BG6+BH6+BI6+BJ6))</f>
        <v/>
      </c>
    </row>
    <row r="18" ht="15" customHeight="1" s="104">
      <c r="A18" s="107" t="inlineStr">
        <is>
          <t>Other Operating Expenses</t>
        </is>
      </c>
      <c r="C18" s="156">
        <f>C6*(Assumptions!B34+Assumptions!B35*0)</f>
        <v/>
      </c>
      <c r="D18" s="156">
        <f>D6*(Assumptions!B34+Assumptions!B35*0)</f>
        <v/>
      </c>
      <c r="E18" s="156">
        <f>E6*(Assumptions!B34+Assumptions!B35*0)</f>
        <v/>
      </c>
      <c r="F18" s="156">
        <f>F6*(Assumptions!B34+Assumptions!B35*0)</f>
        <v/>
      </c>
      <c r="G18" s="156">
        <f>G6*(Assumptions!B34+Assumptions!B35*0)</f>
        <v/>
      </c>
      <c r="H18" s="156">
        <f>H6*(Assumptions!B34+Assumptions!B35*0)</f>
        <v/>
      </c>
      <c r="I18" s="156">
        <f>I6*(Assumptions!B34+Assumptions!B35*0)</f>
        <v/>
      </c>
      <c r="J18" s="156">
        <f>J6*(Assumptions!B34+Assumptions!B35*0)</f>
        <v/>
      </c>
      <c r="K18" s="156">
        <f>K6*(Assumptions!B34+Assumptions!B35*0)</f>
        <v/>
      </c>
      <c r="L18" s="156">
        <f>L6*(Assumptions!B34+Assumptions!B35*0)</f>
        <v/>
      </c>
      <c r="M18" s="156">
        <f>M6*(Assumptions!B34+Assumptions!B35*0)</f>
        <v/>
      </c>
      <c r="N18" s="156">
        <f>N6*(Assumptions!B34+Assumptions!B35*0)</f>
        <v/>
      </c>
      <c r="O18" s="156">
        <f>O6*(Assumptions!B34+Assumptions!B35*1)</f>
        <v/>
      </c>
      <c r="P18" s="156">
        <f>P6*(Assumptions!B34+Assumptions!B35*1)</f>
        <v/>
      </c>
      <c r="Q18" s="156">
        <f>Q6*(Assumptions!B34+Assumptions!B35*1)</f>
        <v/>
      </c>
      <c r="R18" s="156">
        <f>R6*(Assumptions!B34+Assumptions!B35*1)</f>
        <v/>
      </c>
      <c r="S18" s="156">
        <f>S6*(Assumptions!B34+Assumptions!B35*1)</f>
        <v/>
      </c>
      <c r="T18" s="156">
        <f>T6*(Assumptions!B34+Assumptions!B35*1)</f>
        <v/>
      </c>
      <c r="U18" s="156">
        <f>U6*(Assumptions!B34+Assumptions!B35*1)</f>
        <v/>
      </c>
      <c r="V18" s="156">
        <f>V6*(Assumptions!B34+Assumptions!B35*1)</f>
        <v/>
      </c>
      <c r="W18" s="156">
        <f>W6*(Assumptions!B34+Assumptions!B35*1)</f>
        <v/>
      </c>
      <c r="X18" s="156">
        <f>X6*(Assumptions!B34+Assumptions!B35*1)</f>
        <v/>
      </c>
      <c r="Y18" s="156">
        <f>Y6*(Assumptions!B34+Assumptions!B35*1)</f>
        <v/>
      </c>
      <c r="Z18" s="156">
        <f>Z6*(Assumptions!B34+Assumptions!B35*1)</f>
        <v/>
      </c>
      <c r="AA18" s="156">
        <f>AA6*(Assumptions!B34+Assumptions!B35*2)</f>
        <v/>
      </c>
      <c r="AB18" s="156">
        <f>AB6*(Assumptions!B34+Assumptions!B35*2)</f>
        <v/>
      </c>
      <c r="AC18" s="156">
        <f>AC6*(Assumptions!B34+Assumptions!B35*2)</f>
        <v/>
      </c>
      <c r="AD18" s="156">
        <f>AD6*(Assumptions!B34+Assumptions!B35*2)</f>
        <v/>
      </c>
      <c r="AE18" s="156">
        <f>AE6*(Assumptions!B34+Assumptions!B35*2)</f>
        <v/>
      </c>
      <c r="AF18" s="156">
        <f>AF6*(Assumptions!B34+Assumptions!B35*2)</f>
        <v/>
      </c>
      <c r="AG18" s="156">
        <f>AG6*(Assumptions!B34+Assumptions!B35*2)</f>
        <v/>
      </c>
      <c r="AH18" s="156">
        <f>AH6*(Assumptions!B34+Assumptions!B35*2)</f>
        <v/>
      </c>
      <c r="AI18" s="156">
        <f>AI6*(Assumptions!B34+Assumptions!B35*2)</f>
        <v/>
      </c>
      <c r="AJ18" s="156">
        <f>AJ6*(Assumptions!B34+Assumptions!B35*2)</f>
        <v/>
      </c>
      <c r="AK18" s="156">
        <f>AK6*(Assumptions!B34+Assumptions!B35*2)</f>
        <v/>
      </c>
      <c r="AL18" s="156">
        <f>AL6*(Assumptions!B34+Assumptions!B35*2)</f>
        <v/>
      </c>
      <c r="AM18" s="156">
        <f>AM6*(Assumptions!B34+Assumptions!B35*3)</f>
        <v/>
      </c>
      <c r="AN18" s="156">
        <f>AN6*(Assumptions!B34+Assumptions!B35*3)</f>
        <v/>
      </c>
      <c r="AO18" s="156">
        <f>AO6*(Assumptions!B34+Assumptions!B35*3)</f>
        <v/>
      </c>
      <c r="AP18" s="156">
        <f>AP6*(Assumptions!B34+Assumptions!B35*3)</f>
        <v/>
      </c>
      <c r="AQ18" s="156">
        <f>AQ6*(Assumptions!B34+Assumptions!B35*3)</f>
        <v/>
      </c>
      <c r="AR18" s="156">
        <f>AR6*(Assumptions!B34+Assumptions!B35*3)</f>
        <v/>
      </c>
      <c r="AS18" s="156">
        <f>AS6*(Assumptions!B34+Assumptions!B35*3)</f>
        <v/>
      </c>
      <c r="AT18" s="156">
        <f>AT6*(Assumptions!B34+Assumptions!B35*3)</f>
        <v/>
      </c>
      <c r="AU18" s="156">
        <f>AU6*(Assumptions!B34+Assumptions!B35*3)</f>
        <v/>
      </c>
      <c r="AV18" s="156">
        <f>AV6*(Assumptions!B34+Assumptions!B35*3)</f>
        <v/>
      </c>
      <c r="AW18" s="156">
        <f>AW6*(Assumptions!B34+Assumptions!B35*3)</f>
        <v/>
      </c>
      <c r="AX18" s="156">
        <f>AX6*(Assumptions!B34+Assumptions!B35*3)</f>
        <v/>
      </c>
      <c r="AY18" s="156">
        <f>AY6*(Assumptions!B34+Assumptions!B35*4)</f>
        <v/>
      </c>
      <c r="AZ18" s="156">
        <f>AZ6*(Assumptions!B34+Assumptions!B35*4)</f>
        <v/>
      </c>
      <c r="BA18" s="156">
        <f>BA6*(Assumptions!B34+Assumptions!B35*4)</f>
        <v/>
      </c>
      <c r="BB18" s="156">
        <f>BB6*(Assumptions!B34+Assumptions!B35*4)</f>
        <v/>
      </c>
      <c r="BC18" s="156">
        <f>BC6*(Assumptions!B34+Assumptions!B35*4)</f>
        <v/>
      </c>
      <c r="BD18" s="156">
        <f>BD6*(Assumptions!B34+Assumptions!B35*4)</f>
        <v/>
      </c>
      <c r="BE18" s="156">
        <f>BE6*(Assumptions!B34+Assumptions!B35*4)</f>
        <v/>
      </c>
      <c r="BF18" s="156">
        <f>BF6*(Assumptions!B34+Assumptions!B35*4)</f>
        <v/>
      </c>
      <c r="BG18" s="156">
        <f>BG6*(Assumptions!B34+Assumptions!B35*4)</f>
        <v/>
      </c>
      <c r="BH18" s="156">
        <f>BH6*(Assumptions!B34+Assumptions!B35*4)</f>
        <v/>
      </c>
      <c r="BI18" s="156">
        <f>BI6*(Assumptions!B34+Assumptions!B35*4)</f>
        <v/>
      </c>
      <c r="BJ18" s="156">
        <f>BJ6*(Assumptions!B34+Assumptions!B35*4)</f>
        <v/>
      </c>
      <c r="BL18" s="157">
        <f>C18+D18+E18+F18+G18+H18+I18+J18+K18+L18+M18+N18</f>
        <v/>
      </c>
      <c r="BM18" s="157">
        <f>O18+P18+Q18+R18+S18+T18+U18+V18+W18+X18+Y18+Z18</f>
        <v/>
      </c>
      <c r="BN18" s="157">
        <f>AA18+AB18+AC18+AD18+AE18+AF18+AG18+AH18+AI18+AJ18+AK18+AL18</f>
        <v/>
      </c>
      <c r="BO18" s="157">
        <f>AM18+AN18+AO18+AP18+AQ18+AR18+AS18+AT18+AU18+AV18+AW18+AX18</f>
        <v/>
      </c>
      <c r="BP18" s="157">
        <f>AY18+AZ18+BA18+BB18+BC18+BD18+BE18+BF18+BG18+BH18+BI18+BJ18</f>
        <v/>
      </c>
    </row>
    <row r="19" ht="15" customHeight="1" s="104">
      <c r="A19" s="215" t="inlineStr">
        <is>
          <t xml:space="preserve">    % of Revenue</t>
        </is>
      </c>
      <c r="C19" s="216">
        <f>IF(C6=0,0,C18/C6)</f>
        <v/>
      </c>
      <c r="D19" s="216">
        <f>IF(D6=0,0,D18/D6)</f>
        <v/>
      </c>
      <c r="E19" s="216">
        <f>IF(E6=0,0,E18/E6)</f>
        <v/>
      </c>
      <c r="F19" s="216">
        <f>IF(F6=0,0,F18/F6)</f>
        <v/>
      </c>
      <c r="G19" s="216">
        <f>IF(G6=0,0,G18/G6)</f>
        <v/>
      </c>
      <c r="H19" s="216">
        <f>IF(H6=0,0,H18/H6)</f>
        <v/>
      </c>
      <c r="I19" s="216">
        <f>IF(I6=0,0,I18/I6)</f>
        <v/>
      </c>
      <c r="J19" s="216">
        <f>IF(J6=0,0,J18/J6)</f>
        <v/>
      </c>
      <c r="K19" s="216">
        <f>IF(K6=0,0,K18/K6)</f>
        <v/>
      </c>
      <c r="L19" s="216">
        <f>IF(L6=0,0,L18/L6)</f>
        <v/>
      </c>
      <c r="M19" s="216">
        <f>IF(M6=0,0,M18/M6)</f>
        <v/>
      </c>
      <c r="N19" s="216">
        <f>IF(N6=0,0,N18/N6)</f>
        <v/>
      </c>
      <c r="O19" s="216">
        <f>IF(O6=0,0,O18/O6)</f>
        <v/>
      </c>
      <c r="P19" s="216">
        <f>IF(P6=0,0,P18/P6)</f>
        <v/>
      </c>
      <c r="Q19" s="216">
        <f>IF(Q6=0,0,Q18/Q6)</f>
        <v/>
      </c>
      <c r="R19" s="216">
        <f>IF(R6=0,0,R18/R6)</f>
        <v/>
      </c>
      <c r="S19" s="216">
        <f>IF(S6=0,0,S18/S6)</f>
        <v/>
      </c>
      <c r="T19" s="216">
        <f>IF(T6=0,0,T18/T6)</f>
        <v/>
      </c>
      <c r="U19" s="216">
        <f>IF(U6=0,0,U18/U6)</f>
        <v/>
      </c>
      <c r="V19" s="216">
        <f>IF(V6=0,0,V18/V6)</f>
        <v/>
      </c>
      <c r="W19" s="216">
        <f>IF(W6=0,0,W18/W6)</f>
        <v/>
      </c>
      <c r="X19" s="216">
        <f>IF(X6=0,0,X18/X6)</f>
        <v/>
      </c>
      <c r="Y19" s="216">
        <f>IF(Y6=0,0,Y18/Y6)</f>
        <v/>
      </c>
      <c r="Z19" s="216">
        <f>IF(Z6=0,0,Z18/Z6)</f>
        <v/>
      </c>
      <c r="AA19" s="216">
        <f>IF(AA6=0,0,AA18/AA6)</f>
        <v/>
      </c>
      <c r="AB19" s="216">
        <f>IF(AB6=0,0,AB18/AB6)</f>
        <v/>
      </c>
      <c r="AC19" s="216">
        <f>IF(AC6=0,0,AC18/AC6)</f>
        <v/>
      </c>
      <c r="AD19" s="216">
        <f>IF(AD6=0,0,AD18/AD6)</f>
        <v/>
      </c>
      <c r="AE19" s="216">
        <f>IF(AE6=0,0,AE18/AE6)</f>
        <v/>
      </c>
      <c r="AF19" s="216">
        <f>IF(AF6=0,0,AF18/AF6)</f>
        <v/>
      </c>
      <c r="AG19" s="216">
        <f>IF(AG6=0,0,AG18/AG6)</f>
        <v/>
      </c>
      <c r="AH19" s="216">
        <f>IF(AH6=0,0,AH18/AH6)</f>
        <v/>
      </c>
      <c r="AI19" s="216">
        <f>IF(AI6=0,0,AI18/AI6)</f>
        <v/>
      </c>
      <c r="AJ19" s="216">
        <f>IF(AJ6=0,0,AJ18/AJ6)</f>
        <v/>
      </c>
      <c r="AK19" s="216">
        <f>IF(AK6=0,0,AK18/AK6)</f>
        <v/>
      </c>
      <c r="AL19" s="216">
        <f>IF(AL6=0,0,AL18/AL6)</f>
        <v/>
      </c>
      <c r="AM19" s="216">
        <f>IF(AM6=0,0,AM18/AM6)</f>
        <v/>
      </c>
      <c r="AN19" s="216">
        <f>IF(AN6=0,0,AN18/AN6)</f>
        <v/>
      </c>
      <c r="AO19" s="216">
        <f>IF(AO6=0,0,AO18/AO6)</f>
        <v/>
      </c>
      <c r="AP19" s="216">
        <f>IF(AP6=0,0,AP18/AP6)</f>
        <v/>
      </c>
      <c r="AQ19" s="216">
        <f>IF(AQ6=0,0,AQ18/AQ6)</f>
        <v/>
      </c>
      <c r="AR19" s="216">
        <f>IF(AR6=0,0,AR18/AR6)</f>
        <v/>
      </c>
      <c r="AS19" s="216">
        <f>IF(AS6=0,0,AS18/AS6)</f>
        <v/>
      </c>
      <c r="AT19" s="216">
        <f>IF(AT6=0,0,AT18/AT6)</f>
        <v/>
      </c>
      <c r="AU19" s="216">
        <f>IF(AU6=0,0,AU18/AU6)</f>
        <v/>
      </c>
      <c r="AV19" s="216">
        <f>IF(AV6=0,0,AV18/AV6)</f>
        <v/>
      </c>
      <c r="AW19" s="216">
        <f>IF(AW6=0,0,AW18/AW6)</f>
        <v/>
      </c>
      <c r="AX19" s="216">
        <f>IF(AX6=0,0,AX18/AX6)</f>
        <v/>
      </c>
      <c r="AY19" s="216">
        <f>IF(AY6=0,0,AY18/AY6)</f>
        <v/>
      </c>
      <c r="AZ19" s="216">
        <f>IF(AZ6=0,0,AZ18/AZ6)</f>
        <v/>
      </c>
      <c r="BA19" s="216">
        <f>IF(BA6=0,0,BA18/BA6)</f>
        <v/>
      </c>
      <c r="BB19" s="216">
        <f>IF(BB6=0,0,BB18/BB6)</f>
        <v/>
      </c>
      <c r="BC19" s="216">
        <f>IF(BC6=0,0,BC18/BC6)</f>
        <v/>
      </c>
      <c r="BD19" s="216">
        <f>IF(BD6=0,0,BD18/BD6)</f>
        <v/>
      </c>
      <c r="BE19" s="216">
        <f>IF(BE6=0,0,BE18/BE6)</f>
        <v/>
      </c>
      <c r="BF19" s="216">
        <f>IF(BF6=0,0,BF18/BF6)</f>
        <v/>
      </c>
      <c r="BG19" s="216">
        <f>IF(BG6=0,0,BG18/BG6)</f>
        <v/>
      </c>
      <c r="BH19" s="216">
        <f>IF(BH6=0,0,BH18/BH6)</f>
        <v/>
      </c>
      <c r="BI19" s="216">
        <f>IF(BI6=0,0,BI18/BI6)</f>
        <v/>
      </c>
      <c r="BJ19" s="216">
        <f>IF(BJ6=0,0,BJ18/BJ6)</f>
        <v/>
      </c>
      <c r="BL19" s="217">
        <f>IF((C6+D6+E6+F6+G6+H6+I6+J6+K6+L6+M6+N6)=0,0,(C18+D18+E18+F18+G18+H18+I18+J18+K18+L18+M18+N18)/(C6+D6+E6+F6+G6+H6+I6+J6+K6+L6+M6+N6))</f>
        <v/>
      </c>
      <c r="BM19" s="217">
        <f>IF((O6+P6+Q6+R6+S6+T6+U6+V6+W6+X6+Y6+Z6)=0,0,(O18+P18+Q18+R18+S18+T18+U18+V18+W18+X18+Y18+Z18)/(O6+P6+Q6+R6+S6+T6+U6+V6+W6+X6+Y6+Z6))</f>
        <v/>
      </c>
      <c r="BN19" s="217">
        <f>IF((AA6+AB6+AC6+AD6+AE6+AF6+AG6+AH6+AI6+AJ6+AK6+AL6)=0,0,(AA18+AB18+AC18+AD18+AE18+AF18+AG18+AH18+AI18+AJ18+AK18+AL18)/(AA6+AB6+AC6+AD6+AE6+AF6+AG6+AH6+AI6+AJ6+AK6+AL6))</f>
        <v/>
      </c>
      <c r="BO19" s="217">
        <f>IF((AM6+AN6+AO6+AP6+AQ6+AR6+AS6+AT6+AU6+AV6+AW6+AX6)=0,0,(AM18+AN18+AO18+AP18+AQ18+AR18+AS18+AT18+AU18+AV18+AW18+AX18)/(AM6+AN6+AO6+AP6+AQ6+AR6+AS6+AT6+AU6+AV6+AW6+AX6))</f>
        <v/>
      </c>
      <c r="BP19" s="217">
        <f>IF((AY6+AZ6+BA6+BB6+BC6+BD6+BE6+BF6+BG6+BH6+BI6+BJ6)=0,0,(AY18+AZ18+BA18+BB18+BC18+BD18+BE18+BF18+BG18+BH18+BI18+BJ18)/(AY6+AZ6+BA6+BB6+BC6+BD6+BE6+BF6+BG6+BH6+BI6+BJ6))</f>
        <v/>
      </c>
    </row>
    <row r="20" ht="15" customHeight="1" s="104">
      <c r="A20" s="116" t="inlineStr">
        <is>
          <t>Total Operating Expenses</t>
        </is>
      </c>
      <c r="C20" s="151">
        <f>C8+C10+C12+C14+C16+C18</f>
        <v/>
      </c>
      <c r="D20" s="151">
        <f>D8+D10+D12+D14+D16+D18</f>
        <v/>
      </c>
      <c r="E20" s="151">
        <f>E8+E10+E12+E14+E16+E18</f>
        <v/>
      </c>
      <c r="F20" s="151">
        <f>F8+F10+F12+F14+F16+F18</f>
        <v/>
      </c>
      <c r="G20" s="151">
        <f>G8+G10+G12+G14+G16+G18</f>
        <v/>
      </c>
      <c r="H20" s="151">
        <f>H8+H10+H12+H14+H16+H18</f>
        <v/>
      </c>
      <c r="I20" s="151">
        <f>I8+I10+I12+I14+I16+I18</f>
        <v/>
      </c>
      <c r="J20" s="151">
        <f>J8+J10+J12+J14+J16+J18</f>
        <v/>
      </c>
      <c r="K20" s="151">
        <f>K8+K10+K12+K14+K16+K18</f>
        <v/>
      </c>
      <c r="L20" s="151">
        <f>L8+L10+L12+L14+L16+L18</f>
        <v/>
      </c>
      <c r="M20" s="151">
        <f>M8+M10+M12+M14+M16+M18</f>
        <v/>
      </c>
      <c r="N20" s="151">
        <f>N8+N10+N12+N14+N16+N18</f>
        <v/>
      </c>
      <c r="O20" s="151">
        <f>O8+O10+O12+O14+O16+O18</f>
        <v/>
      </c>
      <c r="P20" s="151">
        <f>P8+P10+P12+P14+P16+P18</f>
        <v/>
      </c>
      <c r="Q20" s="151">
        <f>Q8+Q10+Q12+Q14+Q16+Q18</f>
        <v/>
      </c>
      <c r="R20" s="151">
        <f>R8+R10+R12+R14+R16+R18</f>
        <v/>
      </c>
      <c r="S20" s="151">
        <f>S8+S10+S12+S14+S16+S18</f>
        <v/>
      </c>
      <c r="T20" s="151">
        <f>T8+T10+T12+T14+T16+T18</f>
        <v/>
      </c>
      <c r="U20" s="151">
        <f>U8+U10+U12+U14+U16+U18</f>
        <v/>
      </c>
      <c r="V20" s="151">
        <f>V8+V10+V12+V14+V16+V18</f>
        <v/>
      </c>
      <c r="W20" s="151">
        <f>W8+W10+W12+W14+W16+W18</f>
        <v/>
      </c>
      <c r="X20" s="151">
        <f>X8+X10+X12+X14+X16+X18</f>
        <v/>
      </c>
      <c r="Y20" s="151">
        <f>Y8+Y10+Y12+Y14+Y16+Y18</f>
        <v/>
      </c>
      <c r="Z20" s="151">
        <f>Z8+Z10+Z12+Z14+Z16+Z18</f>
        <v/>
      </c>
      <c r="AA20" s="151">
        <f>AA8+AA10+AA12+AA14+AA16+AA18</f>
        <v/>
      </c>
      <c r="AB20" s="151">
        <f>AB8+AB10+AB12+AB14+AB16+AB18</f>
        <v/>
      </c>
      <c r="AC20" s="151">
        <f>AC8+AC10+AC12+AC14+AC16+AC18</f>
        <v/>
      </c>
      <c r="AD20" s="151">
        <f>AD8+AD10+AD12+AD14+AD16+AD18</f>
        <v/>
      </c>
      <c r="AE20" s="151">
        <f>AE8+AE10+AE12+AE14+AE16+AE18</f>
        <v/>
      </c>
      <c r="AF20" s="151">
        <f>AF8+AF10+AF12+AF14+AF16+AF18</f>
        <v/>
      </c>
      <c r="AG20" s="151">
        <f>AG8+AG10+AG12+AG14+AG16+AG18</f>
        <v/>
      </c>
      <c r="AH20" s="151">
        <f>AH8+AH10+AH12+AH14+AH16+AH18</f>
        <v/>
      </c>
      <c r="AI20" s="151">
        <f>AI8+AI10+AI12+AI14+AI16+AI18</f>
        <v/>
      </c>
      <c r="AJ20" s="151">
        <f>AJ8+AJ10+AJ12+AJ14+AJ16+AJ18</f>
        <v/>
      </c>
      <c r="AK20" s="151">
        <f>AK8+AK10+AK12+AK14+AK16+AK18</f>
        <v/>
      </c>
      <c r="AL20" s="151">
        <f>AL8+AL10+AL12+AL14+AL16+AL18</f>
        <v/>
      </c>
      <c r="AM20" s="151">
        <f>AM8+AM10+AM12+AM14+AM16+AM18</f>
        <v/>
      </c>
      <c r="AN20" s="151">
        <f>AN8+AN10+AN12+AN14+AN16+AN18</f>
        <v/>
      </c>
      <c r="AO20" s="151">
        <f>AO8+AO10+AO12+AO14+AO16+AO18</f>
        <v/>
      </c>
      <c r="AP20" s="151">
        <f>AP8+AP10+AP12+AP14+AP16+AP18</f>
        <v/>
      </c>
      <c r="AQ20" s="151">
        <f>AQ8+AQ10+AQ12+AQ14+AQ16+AQ18</f>
        <v/>
      </c>
      <c r="AR20" s="151">
        <f>AR8+AR10+AR12+AR14+AR16+AR18</f>
        <v/>
      </c>
      <c r="AS20" s="151">
        <f>AS8+AS10+AS12+AS14+AS16+AS18</f>
        <v/>
      </c>
      <c r="AT20" s="151">
        <f>AT8+AT10+AT12+AT14+AT16+AT18</f>
        <v/>
      </c>
      <c r="AU20" s="151">
        <f>AU8+AU10+AU12+AU14+AU16+AU18</f>
        <v/>
      </c>
      <c r="AV20" s="151">
        <f>AV8+AV10+AV12+AV14+AV16+AV18</f>
        <v/>
      </c>
      <c r="AW20" s="151">
        <f>AW8+AW10+AW12+AW14+AW16+AW18</f>
        <v/>
      </c>
      <c r="AX20" s="151">
        <f>AX8+AX10+AX12+AX14+AX16+AX18</f>
        <v/>
      </c>
      <c r="AY20" s="151">
        <f>AY8+AY10+AY12+AY14+AY16+AY18</f>
        <v/>
      </c>
      <c r="AZ20" s="151">
        <f>AZ8+AZ10+AZ12+AZ14+AZ16+AZ18</f>
        <v/>
      </c>
      <c r="BA20" s="151">
        <f>BA8+BA10+BA12+BA14+BA16+BA18</f>
        <v/>
      </c>
      <c r="BB20" s="151">
        <f>BB8+BB10+BB12+BB14+BB16+BB18</f>
        <v/>
      </c>
      <c r="BC20" s="151">
        <f>BC8+BC10+BC12+BC14+BC16+BC18</f>
        <v/>
      </c>
      <c r="BD20" s="151">
        <f>BD8+BD10+BD12+BD14+BD16+BD18</f>
        <v/>
      </c>
      <c r="BE20" s="151">
        <f>BE8+BE10+BE12+BE14+BE16+BE18</f>
        <v/>
      </c>
      <c r="BF20" s="151">
        <f>BF8+BF10+BF12+BF14+BF16+BF18</f>
        <v/>
      </c>
      <c r="BG20" s="151">
        <f>BG8+BG10+BG12+BG14+BG16+BG18</f>
        <v/>
      </c>
      <c r="BH20" s="151">
        <f>BH8+BH10+BH12+BH14+BH16+BH18</f>
        <v/>
      </c>
      <c r="BI20" s="151">
        <f>BI8+BI10+BI12+BI14+BI16+BI18</f>
        <v/>
      </c>
      <c r="BJ20" s="151">
        <f>BJ8+BJ10+BJ12+BJ14+BJ16+BJ18</f>
        <v/>
      </c>
      <c r="BL20" s="152">
        <f>C20+D20+E20+F20+G20+H20+I20+J20+K20+L20+M20+N20</f>
        <v/>
      </c>
      <c r="BM20" s="152">
        <f>O20+P20+Q20+R20+S20+T20+U20+V20+W20+X20+Y20+Z20</f>
        <v/>
      </c>
      <c r="BN20" s="152">
        <f>AA20+AB20+AC20+AD20+AE20+AF20+AG20+AH20+AI20+AJ20+AK20+AL20</f>
        <v/>
      </c>
      <c r="BO20" s="152">
        <f>AM20+AN20+AO20+AP20+AQ20+AR20+AS20+AT20+AU20+AV20+AW20+AX20</f>
        <v/>
      </c>
      <c r="BP20" s="152">
        <f>AY20+AZ20+BA20+BB20+BC20+BD20+BE20+BF20+BG20+BH20+BI20+BJ20</f>
        <v/>
      </c>
    </row>
    <row r="21" ht="15" customHeight="1" s="104">
      <c r="A21" s="106" t="inlineStr">
        <is>
          <t>EBITDA</t>
        </is>
      </c>
    </row>
    <row r="22" ht="15" customHeight="1" s="104">
      <c r="A22" s="116" t="inlineStr">
        <is>
          <t>EBITDA</t>
        </is>
      </c>
      <c r="C22" s="151">
        <f>C6-C20</f>
        <v/>
      </c>
      <c r="D22" s="151">
        <f>D6-D20</f>
        <v/>
      </c>
      <c r="E22" s="151">
        <f>E6-E20</f>
        <v/>
      </c>
      <c r="F22" s="151">
        <f>F6-F20</f>
        <v/>
      </c>
      <c r="G22" s="151">
        <f>G6-G20</f>
        <v/>
      </c>
      <c r="H22" s="151">
        <f>H6-H20</f>
        <v/>
      </c>
      <c r="I22" s="151">
        <f>I6-I20</f>
        <v/>
      </c>
      <c r="J22" s="151">
        <f>J6-J20</f>
        <v/>
      </c>
      <c r="K22" s="151">
        <f>K6-K20</f>
        <v/>
      </c>
      <c r="L22" s="151">
        <f>L6-L20</f>
        <v/>
      </c>
      <c r="M22" s="151">
        <f>M6-M20</f>
        <v/>
      </c>
      <c r="N22" s="151">
        <f>N6-N20</f>
        <v/>
      </c>
      <c r="O22" s="151">
        <f>O6-O20</f>
        <v/>
      </c>
      <c r="P22" s="151">
        <f>P6-P20</f>
        <v/>
      </c>
      <c r="Q22" s="151">
        <f>Q6-Q20</f>
        <v/>
      </c>
      <c r="R22" s="151">
        <f>R6-R20</f>
        <v/>
      </c>
      <c r="S22" s="151">
        <f>S6-S20</f>
        <v/>
      </c>
      <c r="T22" s="151">
        <f>T6-T20</f>
        <v/>
      </c>
      <c r="U22" s="151">
        <f>U6-U20</f>
        <v/>
      </c>
      <c r="V22" s="151">
        <f>V6-V20</f>
        <v/>
      </c>
      <c r="W22" s="151">
        <f>W6-W20</f>
        <v/>
      </c>
      <c r="X22" s="151">
        <f>X6-X20</f>
        <v/>
      </c>
      <c r="Y22" s="151">
        <f>Y6-Y20</f>
        <v/>
      </c>
      <c r="Z22" s="151">
        <f>Z6-Z20</f>
        <v/>
      </c>
      <c r="AA22" s="151">
        <f>AA6-AA20</f>
        <v/>
      </c>
      <c r="AB22" s="151">
        <f>AB6-AB20</f>
        <v/>
      </c>
      <c r="AC22" s="151">
        <f>AC6-AC20</f>
        <v/>
      </c>
      <c r="AD22" s="151">
        <f>AD6-AD20</f>
        <v/>
      </c>
      <c r="AE22" s="151">
        <f>AE6-AE20</f>
        <v/>
      </c>
      <c r="AF22" s="151">
        <f>AF6-AF20</f>
        <v/>
      </c>
      <c r="AG22" s="151">
        <f>AG6-AG20</f>
        <v/>
      </c>
      <c r="AH22" s="151">
        <f>AH6-AH20</f>
        <v/>
      </c>
      <c r="AI22" s="151">
        <f>AI6-AI20</f>
        <v/>
      </c>
      <c r="AJ22" s="151">
        <f>AJ6-AJ20</f>
        <v/>
      </c>
      <c r="AK22" s="151">
        <f>AK6-AK20</f>
        <v/>
      </c>
      <c r="AL22" s="151">
        <f>AL6-AL20</f>
        <v/>
      </c>
      <c r="AM22" s="151">
        <f>AM6-AM20</f>
        <v/>
      </c>
      <c r="AN22" s="151">
        <f>AN6-AN20</f>
        <v/>
      </c>
      <c r="AO22" s="151">
        <f>AO6-AO20</f>
        <v/>
      </c>
      <c r="AP22" s="151">
        <f>AP6-AP20</f>
        <v/>
      </c>
      <c r="AQ22" s="151">
        <f>AQ6-AQ20</f>
        <v/>
      </c>
      <c r="AR22" s="151">
        <f>AR6-AR20</f>
        <v/>
      </c>
      <c r="AS22" s="151">
        <f>AS6-AS20</f>
        <v/>
      </c>
      <c r="AT22" s="151">
        <f>AT6-AT20</f>
        <v/>
      </c>
      <c r="AU22" s="151">
        <f>AU6-AU20</f>
        <v/>
      </c>
      <c r="AV22" s="151">
        <f>AV6-AV20</f>
        <v/>
      </c>
      <c r="AW22" s="151">
        <f>AW6-AW20</f>
        <v/>
      </c>
      <c r="AX22" s="151">
        <f>AX6-AX20</f>
        <v/>
      </c>
      <c r="AY22" s="151">
        <f>AY6-AY20</f>
        <v/>
      </c>
      <c r="AZ22" s="151">
        <f>AZ6-AZ20</f>
        <v/>
      </c>
      <c r="BA22" s="151">
        <f>BA6-BA20</f>
        <v/>
      </c>
      <c r="BB22" s="151">
        <f>BB6-BB20</f>
        <v/>
      </c>
      <c r="BC22" s="151">
        <f>BC6-BC20</f>
        <v/>
      </c>
      <c r="BD22" s="151">
        <f>BD6-BD20</f>
        <v/>
      </c>
      <c r="BE22" s="151">
        <f>BE6-BE20</f>
        <v/>
      </c>
      <c r="BF22" s="151">
        <f>BF6-BF20</f>
        <v/>
      </c>
      <c r="BG22" s="151">
        <f>BG6-BG20</f>
        <v/>
      </c>
      <c r="BH22" s="151">
        <f>BH6-BH20</f>
        <v/>
      </c>
      <c r="BI22" s="151">
        <f>BI6-BI20</f>
        <v/>
      </c>
      <c r="BJ22" s="151">
        <f>BJ6-BJ20</f>
        <v/>
      </c>
      <c r="BL22" s="152">
        <f>C22+D22+E22+F22+G22+H22+I22+J22+K22+L22+M22+N22</f>
        <v/>
      </c>
      <c r="BM22" s="152">
        <f>O22+P22+Q22+R22+S22+T22+U22+V22+W22+X22+Y22+Z22</f>
        <v/>
      </c>
      <c r="BN22" s="152">
        <f>AA22+AB22+AC22+AD22+AE22+AF22+AG22+AH22+AI22+AJ22+AK22+AL22</f>
        <v/>
      </c>
      <c r="BO22" s="152">
        <f>AM22+AN22+AO22+AP22+AQ22+AR22+AS22+AT22+AU22+AV22+AW22+AX22</f>
        <v/>
      </c>
      <c r="BP22" s="152">
        <f>AY22+AZ22+BA22+BB22+BC22+BD22+BE22+BF22+BG22+BH22+BI22+BJ22</f>
        <v/>
      </c>
    </row>
    <row r="23" ht="15" customHeight="1" s="104">
      <c r="A23" s="218" t="inlineStr">
        <is>
          <t xml:space="preserve">    EBITDA Margin %</t>
        </is>
      </c>
      <c r="C23" s="192">
        <f>IF(C6=0,0,C22/C6)</f>
        <v/>
      </c>
      <c r="D23" s="192">
        <f>IF(D6=0,0,D22/D6)</f>
        <v/>
      </c>
      <c r="E23" s="192">
        <f>IF(E6=0,0,E22/E6)</f>
        <v/>
      </c>
      <c r="F23" s="192">
        <f>IF(F6=0,0,F22/F6)</f>
        <v/>
      </c>
      <c r="G23" s="192">
        <f>IF(G6=0,0,G22/G6)</f>
        <v/>
      </c>
      <c r="H23" s="192">
        <f>IF(H6=0,0,H22/H6)</f>
        <v/>
      </c>
      <c r="I23" s="192">
        <f>IF(I6=0,0,I22/I6)</f>
        <v/>
      </c>
      <c r="J23" s="192">
        <f>IF(J6=0,0,J22/J6)</f>
        <v/>
      </c>
      <c r="K23" s="192">
        <f>IF(K6=0,0,K22/K6)</f>
        <v/>
      </c>
      <c r="L23" s="192">
        <f>IF(L6=0,0,L22/L6)</f>
        <v/>
      </c>
      <c r="M23" s="192">
        <f>IF(M6=0,0,M22/M6)</f>
        <v/>
      </c>
      <c r="N23" s="192">
        <f>IF(N6=0,0,N22/N6)</f>
        <v/>
      </c>
      <c r="O23" s="192">
        <f>IF(O6=0,0,O22/O6)</f>
        <v/>
      </c>
      <c r="P23" s="192">
        <f>IF(P6=0,0,P22/P6)</f>
        <v/>
      </c>
      <c r="Q23" s="192">
        <f>IF(Q6=0,0,Q22/Q6)</f>
        <v/>
      </c>
      <c r="R23" s="192">
        <f>IF(R6=0,0,R22/R6)</f>
        <v/>
      </c>
      <c r="S23" s="192">
        <f>IF(S6=0,0,S22/S6)</f>
        <v/>
      </c>
      <c r="T23" s="192">
        <f>IF(T6=0,0,T22/T6)</f>
        <v/>
      </c>
      <c r="U23" s="192">
        <f>IF(U6=0,0,U22/U6)</f>
        <v/>
      </c>
      <c r="V23" s="192">
        <f>IF(V6=0,0,V22/V6)</f>
        <v/>
      </c>
      <c r="W23" s="192">
        <f>IF(W6=0,0,W22/W6)</f>
        <v/>
      </c>
      <c r="X23" s="192">
        <f>IF(X6=0,0,X22/X6)</f>
        <v/>
      </c>
      <c r="Y23" s="192">
        <f>IF(Y6=0,0,Y22/Y6)</f>
        <v/>
      </c>
      <c r="Z23" s="192">
        <f>IF(Z6=0,0,Z22/Z6)</f>
        <v/>
      </c>
      <c r="AA23" s="192">
        <f>IF(AA6=0,0,AA22/AA6)</f>
        <v/>
      </c>
      <c r="AB23" s="192">
        <f>IF(AB6=0,0,AB22/AB6)</f>
        <v/>
      </c>
      <c r="AC23" s="192">
        <f>IF(AC6=0,0,AC22/AC6)</f>
        <v/>
      </c>
      <c r="AD23" s="192">
        <f>IF(AD6=0,0,AD22/AD6)</f>
        <v/>
      </c>
      <c r="AE23" s="192">
        <f>IF(AE6=0,0,AE22/AE6)</f>
        <v/>
      </c>
      <c r="AF23" s="192">
        <f>IF(AF6=0,0,AF22/AF6)</f>
        <v/>
      </c>
      <c r="AG23" s="192">
        <f>IF(AG6=0,0,AG22/AG6)</f>
        <v/>
      </c>
      <c r="AH23" s="192">
        <f>IF(AH6=0,0,AH22/AH6)</f>
        <v/>
      </c>
      <c r="AI23" s="192">
        <f>IF(AI6=0,0,AI22/AI6)</f>
        <v/>
      </c>
      <c r="AJ23" s="192">
        <f>IF(AJ6=0,0,AJ22/AJ6)</f>
        <v/>
      </c>
      <c r="AK23" s="192">
        <f>IF(AK6=0,0,AK22/AK6)</f>
        <v/>
      </c>
      <c r="AL23" s="192">
        <f>IF(AL6=0,0,AL22/AL6)</f>
        <v/>
      </c>
      <c r="AM23" s="192">
        <f>IF(AM6=0,0,AM22/AM6)</f>
        <v/>
      </c>
      <c r="AN23" s="192">
        <f>IF(AN6=0,0,AN22/AN6)</f>
        <v/>
      </c>
      <c r="AO23" s="192">
        <f>IF(AO6=0,0,AO22/AO6)</f>
        <v/>
      </c>
      <c r="AP23" s="192">
        <f>IF(AP6=0,0,AP22/AP6)</f>
        <v/>
      </c>
      <c r="AQ23" s="192">
        <f>IF(AQ6=0,0,AQ22/AQ6)</f>
        <v/>
      </c>
      <c r="AR23" s="192">
        <f>IF(AR6=0,0,AR22/AR6)</f>
        <v/>
      </c>
      <c r="AS23" s="192">
        <f>IF(AS6=0,0,AS22/AS6)</f>
        <v/>
      </c>
      <c r="AT23" s="192">
        <f>IF(AT6=0,0,AT22/AT6)</f>
        <v/>
      </c>
      <c r="AU23" s="192">
        <f>IF(AU6=0,0,AU22/AU6)</f>
        <v/>
      </c>
      <c r="AV23" s="192">
        <f>IF(AV6=0,0,AV22/AV6)</f>
        <v/>
      </c>
      <c r="AW23" s="192">
        <f>IF(AW6=0,0,AW22/AW6)</f>
        <v/>
      </c>
      <c r="AX23" s="192">
        <f>IF(AX6=0,0,AX22/AX6)</f>
        <v/>
      </c>
      <c r="AY23" s="192">
        <f>IF(AY6=0,0,AY22/AY6)</f>
        <v/>
      </c>
      <c r="AZ23" s="192">
        <f>IF(AZ6=0,0,AZ22/AZ6)</f>
        <v/>
      </c>
      <c r="BA23" s="192">
        <f>IF(BA6=0,0,BA22/BA6)</f>
        <v/>
      </c>
      <c r="BB23" s="192">
        <f>IF(BB6=0,0,BB22/BB6)</f>
        <v/>
      </c>
      <c r="BC23" s="192">
        <f>IF(BC6=0,0,BC22/BC6)</f>
        <v/>
      </c>
      <c r="BD23" s="192">
        <f>IF(BD6=0,0,BD22/BD6)</f>
        <v/>
      </c>
      <c r="BE23" s="192">
        <f>IF(BE6=0,0,BE22/BE6)</f>
        <v/>
      </c>
      <c r="BF23" s="192">
        <f>IF(BF6=0,0,BF22/BF6)</f>
        <v/>
      </c>
      <c r="BG23" s="192">
        <f>IF(BG6=0,0,BG22/BG6)</f>
        <v/>
      </c>
      <c r="BH23" s="192">
        <f>IF(BH6=0,0,BH22/BH6)</f>
        <v/>
      </c>
      <c r="BI23" s="192">
        <f>IF(BI6=0,0,BI22/BI6)</f>
        <v/>
      </c>
      <c r="BJ23" s="192">
        <f>IF(BJ6=0,0,BJ22/BJ6)</f>
        <v/>
      </c>
      <c r="BL23" s="219">
        <f>IF((C6+D6+E6+F6+G6+H6+I6+J6+K6+L6+M6+N6)=0,0,(C22+D22+E22+F22+G22+H22+I22+J22+K22+L22+M22+N22)/(C6+D6+E6+F6+G6+H6+I6+J6+K6+L6+M6+N6))</f>
        <v/>
      </c>
      <c r="BM23" s="219">
        <f>IF((O6+P6+Q6+R6+S6+T6+U6+V6+W6+X6+Y6+Z6)=0,0,(O22+P22+Q22+R22+S22+T22+U22+V22+W22+X22+Y22+Z22)/(O6+P6+Q6+R6+S6+T6+U6+V6+W6+X6+Y6+Z6))</f>
        <v/>
      </c>
      <c r="BN23" s="219">
        <f>IF((AA6+AB6+AC6+AD6+AE6+AF6+AG6+AH6+AI6+AJ6+AK6+AL6)=0,0,(AA22+AB22+AC22+AD22+AE22+AF22+AG22+AH22+AI22+AJ22+AK22+AL22)/(AA6+AB6+AC6+AD6+AE6+AF6+AG6+AH6+AI6+AJ6+AK6+AL6))</f>
        <v/>
      </c>
      <c r="BO23" s="219">
        <f>IF((AM6+AN6+AO6+AP6+AQ6+AR6+AS6+AT6+AU6+AV6+AW6+AX6)=0,0,(AM22+AN22+AO22+AP22+AQ22+AR22+AS22+AT22+AU22+AV22+AW22+AX22)/(AM6+AN6+AO6+AP6+AQ6+AR6+AS6+AT6+AU6+AV6+AW6+AX6))</f>
        <v/>
      </c>
      <c r="BP23" s="219">
        <f>IF((AY6+AZ6+BA6+BB6+BC6+BD6+BE6+BF6+BG6+BH6+BI6+BJ6)=0,0,(AY22+AZ22+BA22+BB22+BC22+BD22+BE22+BF22+BG22+BH22+BI22+BJ22)/(AY6+AZ6+BA6+BB6+BC6+BD6+BE6+BF6+BG6+BH6+BI6+BJ6))</f>
        <v/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15.xml><?xml version="1.0" encoding="utf-8"?>
<worksheet xmlns="http://schemas.openxmlformats.org/spreadsheetml/2006/main">
  <sheetPr filterMode="0">
    <tabColor rgb="FF5B9BD5"/>
    <outlinePr summaryBelow="1" summaryRight="1"/>
    <pageSetUpPr fitToPage="0"/>
  </sheetPr>
  <dimension ref="A1:BP2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baseColWidth="8" defaultColWidth="8.71484375" defaultRowHeight="15" zeroHeight="0" outlineLevelRow="0"/>
  <cols>
    <col width="38" customWidth="1" style="103" min="1" max="1"/>
    <col width="9" customWidth="1" style="103" min="3" max="62"/>
    <col width="11" customWidth="1" style="103" min="64" max="68"/>
  </cols>
  <sheetData>
    <row r="1" ht="19.5" customHeight="1" s="104">
      <c r="A1" s="105" t="inlineStr">
        <is>
          <t>Add-On 7 – Monthly P&amp;L ($mm)</t>
        </is>
      </c>
    </row>
    <row r="3" ht="15" customHeight="1" s="104">
      <c r="A3" s="116" t="inlineStr">
        <is>
          <t>($mm)</t>
        </is>
      </c>
      <c r="C3" s="149" t="inlineStr">
        <is>
          <t>Oct-26</t>
        </is>
      </c>
      <c r="D3" s="149" t="inlineStr">
        <is>
          <t>Nov-26</t>
        </is>
      </c>
      <c r="E3" s="149" t="inlineStr">
        <is>
          <t>Dec-26</t>
        </is>
      </c>
      <c r="F3" s="149" t="inlineStr">
        <is>
          <t>Jan-27</t>
        </is>
      </c>
      <c r="G3" s="149" t="inlineStr">
        <is>
          <t>Feb-27</t>
        </is>
      </c>
      <c r="H3" s="149" t="inlineStr">
        <is>
          <t>Mar-27</t>
        </is>
      </c>
      <c r="I3" s="149" t="inlineStr">
        <is>
          <t>Apr-27</t>
        </is>
      </c>
      <c r="J3" s="149" t="inlineStr">
        <is>
          <t>May-27</t>
        </is>
      </c>
      <c r="K3" s="149" t="inlineStr">
        <is>
          <t>Jun-27</t>
        </is>
      </c>
      <c r="L3" s="149" t="inlineStr">
        <is>
          <t>Jul-27</t>
        </is>
      </c>
      <c r="M3" s="149" t="inlineStr">
        <is>
          <t>Aug-27</t>
        </is>
      </c>
      <c r="N3" s="149" t="inlineStr">
        <is>
          <t>Sep-27</t>
        </is>
      </c>
      <c r="O3" s="149" t="inlineStr">
        <is>
          <t>Oct-27</t>
        </is>
      </c>
      <c r="P3" s="149" t="inlineStr">
        <is>
          <t>Nov-27</t>
        </is>
      </c>
      <c r="Q3" s="149" t="inlineStr">
        <is>
          <t>Dec-27</t>
        </is>
      </c>
      <c r="R3" s="149" t="inlineStr">
        <is>
          <t>Jan-28</t>
        </is>
      </c>
      <c r="S3" s="149" t="inlineStr">
        <is>
          <t>Feb-28</t>
        </is>
      </c>
      <c r="T3" s="149" t="inlineStr">
        <is>
          <t>Mar-28</t>
        </is>
      </c>
      <c r="U3" s="149" t="inlineStr">
        <is>
          <t>Apr-28</t>
        </is>
      </c>
      <c r="V3" s="149" t="inlineStr">
        <is>
          <t>May-28</t>
        </is>
      </c>
      <c r="W3" s="149" t="inlineStr">
        <is>
          <t>Jun-28</t>
        </is>
      </c>
      <c r="X3" s="149" t="inlineStr">
        <is>
          <t>Jul-28</t>
        </is>
      </c>
      <c r="Y3" s="149" t="inlineStr">
        <is>
          <t>Aug-28</t>
        </is>
      </c>
      <c r="Z3" s="149" t="inlineStr">
        <is>
          <t>Sep-28</t>
        </is>
      </c>
      <c r="AA3" s="149" t="inlineStr">
        <is>
          <t>Oct-28</t>
        </is>
      </c>
      <c r="AB3" s="149" t="inlineStr">
        <is>
          <t>Nov-28</t>
        </is>
      </c>
      <c r="AC3" s="149" t="inlineStr">
        <is>
          <t>Dec-28</t>
        </is>
      </c>
      <c r="AD3" s="149" t="inlineStr">
        <is>
          <t>Jan-29</t>
        </is>
      </c>
      <c r="AE3" s="149" t="inlineStr">
        <is>
          <t>Feb-29</t>
        </is>
      </c>
      <c r="AF3" s="149" t="inlineStr">
        <is>
          <t>Mar-29</t>
        </is>
      </c>
      <c r="AG3" s="149" t="inlineStr">
        <is>
          <t>Apr-29</t>
        </is>
      </c>
      <c r="AH3" s="149" t="inlineStr">
        <is>
          <t>May-29</t>
        </is>
      </c>
      <c r="AI3" s="149" t="inlineStr">
        <is>
          <t>Jun-29</t>
        </is>
      </c>
      <c r="AJ3" s="149" t="inlineStr">
        <is>
          <t>Jul-29</t>
        </is>
      </c>
      <c r="AK3" s="149" t="inlineStr">
        <is>
          <t>Aug-29</t>
        </is>
      </c>
      <c r="AL3" s="149" t="inlineStr">
        <is>
          <t>Sep-29</t>
        </is>
      </c>
      <c r="AM3" s="149" t="inlineStr">
        <is>
          <t>Oct-29</t>
        </is>
      </c>
      <c r="AN3" s="149" t="inlineStr">
        <is>
          <t>Nov-29</t>
        </is>
      </c>
      <c r="AO3" s="149" t="inlineStr">
        <is>
          <t>Dec-29</t>
        </is>
      </c>
      <c r="AP3" s="149" t="inlineStr">
        <is>
          <t>Jan-30</t>
        </is>
      </c>
      <c r="AQ3" s="149" t="inlineStr">
        <is>
          <t>Feb-30</t>
        </is>
      </c>
      <c r="AR3" s="149" t="inlineStr">
        <is>
          <t>Mar-30</t>
        </is>
      </c>
      <c r="AS3" s="149" t="inlineStr">
        <is>
          <t>Apr-30</t>
        </is>
      </c>
      <c r="AT3" s="149" t="inlineStr">
        <is>
          <t>May-30</t>
        </is>
      </c>
      <c r="AU3" s="149" t="inlineStr">
        <is>
          <t>Jun-30</t>
        </is>
      </c>
      <c r="AV3" s="149" t="inlineStr">
        <is>
          <t>Jul-30</t>
        </is>
      </c>
      <c r="AW3" s="149" t="inlineStr">
        <is>
          <t>Aug-30</t>
        </is>
      </c>
      <c r="AX3" s="149" t="inlineStr">
        <is>
          <t>Sep-30</t>
        </is>
      </c>
      <c r="AY3" s="149" t="inlineStr">
        <is>
          <t>Oct-30</t>
        </is>
      </c>
      <c r="AZ3" s="149" t="inlineStr">
        <is>
          <t>Nov-30</t>
        </is>
      </c>
      <c r="BA3" s="149" t="inlineStr">
        <is>
          <t>Dec-30</t>
        </is>
      </c>
      <c r="BB3" s="149" t="inlineStr">
        <is>
          <t>Jan-31</t>
        </is>
      </c>
      <c r="BC3" s="149" t="inlineStr">
        <is>
          <t>Feb-31</t>
        </is>
      </c>
      <c r="BD3" s="149" t="inlineStr">
        <is>
          <t>Mar-31</t>
        </is>
      </c>
      <c r="BE3" s="149" t="inlineStr">
        <is>
          <t>Apr-31</t>
        </is>
      </c>
      <c r="BF3" s="149" t="inlineStr">
        <is>
          <t>May-31</t>
        </is>
      </c>
      <c r="BG3" s="149" t="inlineStr">
        <is>
          <t>Jun-31</t>
        </is>
      </c>
      <c r="BH3" s="149" t="inlineStr">
        <is>
          <t>Jul-31</t>
        </is>
      </c>
      <c r="BI3" s="149" t="inlineStr">
        <is>
          <t>Aug-31</t>
        </is>
      </c>
      <c r="BJ3" s="149" t="inlineStr">
        <is>
          <t>Sep-31</t>
        </is>
      </c>
      <c r="BL3" s="150" t="inlineStr">
        <is>
          <t>FY1</t>
        </is>
      </c>
      <c r="BM3" s="150" t="inlineStr">
        <is>
          <t>FY2</t>
        </is>
      </c>
      <c r="BN3" s="150" t="inlineStr">
        <is>
          <t>FY3</t>
        </is>
      </c>
      <c r="BO3" s="150" t="inlineStr">
        <is>
          <t>FY4</t>
        </is>
      </c>
      <c r="BP3" s="150" t="inlineStr">
        <is>
          <t>FY5</t>
        </is>
      </c>
    </row>
    <row r="4" ht="15" customHeight="1" s="104">
      <c r="A4" s="213" t="inlineStr">
        <is>
          <t>Active (1=Yes)</t>
        </is>
      </c>
      <c r="C4" s="220">
        <f>IF(Assumptions!B57="",0,IF(IFERROR(DATEVALUE(TEXT(Assumptions!B57,"MM/DD/YYYY")),0)&lt;=DATE(2026,10,31),1,0))</f>
        <v/>
      </c>
      <c r="D4" s="220">
        <f>IF(Assumptions!B57="",0,IF(IFERROR(DATEVALUE(TEXT(Assumptions!B57,"MM/DD/YYYY")),0)&lt;=DATE(2026,11,30),1,0))</f>
        <v/>
      </c>
      <c r="E4" s="220">
        <f>IF(Assumptions!B57="",0,IF(IFERROR(DATEVALUE(TEXT(Assumptions!B57,"MM/DD/YYYY")),0)&lt;=DATE(2026,12,31),1,0))</f>
        <v/>
      </c>
      <c r="F4" s="220">
        <f>IF(Assumptions!B57="",0,IF(IFERROR(DATEVALUE(TEXT(Assumptions!B57,"MM/DD/YYYY")),0)&lt;=DATE(2027,1,31),1,0))</f>
        <v/>
      </c>
      <c r="G4" s="220">
        <f>IF(Assumptions!B57="",0,IF(IFERROR(DATEVALUE(TEXT(Assumptions!B57,"MM/DD/YYYY")),0)&lt;=DATE(2027,2,28),1,0))</f>
        <v/>
      </c>
      <c r="H4" s="220">
        <f>IF(Assumptions!B57="",0,IF(IFERROR(DATEVALUE(TEXT(Assumptions!B57,"MM/DD/YYYY")),0)&lt;=DATE(2027,3,31),1,0))</f>
        <v/>
      </c>
      <c r="I4" s="220">
        <f>IF(Assumptions!B57="",0,IF(IFERROR(DATEVALUE(TEXT(Assumptions!B57,"MM/DD/YYYY")),0)&lt;=DATE(2027,4,30),1,0))</f>
        <v/>
      </c>
      <c r="J4" s="220">
        <f>IF(Assumptions!B57="",0,IF(IFERROR(DATEVALUE(TEXT(Assumptions!B57,"MM/DD/YYYY")),0)&lt;=DATE(2027,5,31),1,0))</f>
        <v/>
      </c>
      <c r="K4" s="220">
        <f>IF(Assumptions!B57="",0,IF(IFERROR(DATEVALUE(TEXT(Assumptions!B57,"MM/DD/YYYY")),0)&lt;=DATE(2027,6,30),1,0))</f>
        <v/>
      </c>
      <c r="L4" s="220">
        <f>IF(Assumptions!B57="",0,IF(IFERROR(DATEVALUE(TEXT(Assumptions!B57,"MM/DD/YYYY")),0)&lt;=DATE(2027,7,31),1,0))</f>
        <v/>
      </c>
      <c r="M4" s="220">
        <f>IF(Assumptions!B57="",0,IF(IFERROR(DATEVALUE(TEXT(Assumptions!B57,"MM/DD/YYYY")),0)&lt;=DATE(2027,8,31),1,0))</f>
        <v/>
      </c>
      <c r="N4" s="220">
        <f>IF(Assumptions!B57="",0,IF(IFERROR(DATEVALUE(TEXT(Assumptions!B57,"MM/DD/YYYY")),0)&lt;=DATE(2027,9,30),1,0))</f>
        <v/>
      </c>
      <c r="O4" s="220">
        <f>IF(Assumptions!B57="",0,IF(IFERROR(DATEVALUE(TEXT(Assumptions!B57,"MM/DD/YYYY")),0)&lt;=DATE(2027,10,31),1,0))</f>
        <v/>
      </c>
      <c r="P4" s="220">
        <f>IF(Assumptions!B57="",0,IF(IFERROR(DATEVALUE(TEXT(Assumptions!B57,"MM/DD/YYYY")),0)&lt;=DATE(2027,11,30),1,0))</f>
        <v/>
      </c>
      <c r="Q4" s="220">
        <f>IF(Assumptions!B57="",0,IF(IFERROR(DATEVALUE(TEXT(Assumptions!B57,"MM/DD/YYYY")),0)&lt;=DATE(2027,12,31),1,0))</f>
        <v/>
      </c>
      <c r="R4" s="220">
        <f>IF(Assumptions!B57="",0,IF(IFERROR(DATEVALUE(TEXT(Assumptions!B57,"MM/DD/YYYY")),0)&lt;=DATE(2028,1,31),1,0))</f>
        <v/>
      </c>
      <c r="S4" s="220">
        <f>IF(Assumptions!B57="",0,IF(IFERROR(DATEVALUE(TEXT(Assumptions!B57,"MM/DD/YYYY")),0)&lt;=DATE(2028,2,29),1,0))</f>
        <v/>
      </c>
      <c r="T4" s="220">
        <f>IF(Assumptions!B57="",0,IF(IFERROR(DATEVALUE(TEXT(Assumptions!B57,"MM/DD/YYYY")),0)&lt;=DATE(2028,3,31),1,0))</f>
        <v/>
      </c>
      <c r="U4" s="220">
        <f>IF(Assumptions!B57="",0,IF(IFERROR(DATEVALUE(TEXT(Assumptions!B57,"MM/DD/YYYY")),0)&lt;=DATE(2028,4,30),1,0))</f>
        <v/>
      </c>
      <c r="V4" s="220">
        <f>IF(Assumptions!B57="",0,IF(IFERROR(DATEVALUE(TEXT(Assumptions!B57,"MM/DD/YYYY")),0)&lt;=DATE(2028,5,31),1,0))</f>
        <v/>
      </c>
      <c r="W4" s="220">
        <f>IF(Assumptions!B57="",0,IF(IFERROR(DATEVALUE(TEXT(Assumptions!B57,"MM/DD/YYYY")),0)&lt;=DATE(2028,6,30),1,0))</f>
        <v/>
      </c>
      <c r="X4" s="220">
        <f>IF(Assumptions!B57="",0,IF(IFERROR(DATEVALUE(TEXT(Assumptions!B57,"MM/DD/YYYY")),0)&lt;=DATE(2028,7,31),1,0))</f>
        <v/>
      </c>
      <c r="Y4" s="220">
        <f>IF(Assumptions!B57="",0,IF(IFERROR(DATEVALUE(TEXT(Assumptions!B57,"MM/DD/YYYY")),0)&lt;=DATE(2028,8,31),1,0))</f>
        <v/>
      </c>
      <c r="Z4" s="220">
        <f>IF(Assumptions!B57="",0,IF(IFERROR(DATEVALUE(TEXT(Assumptions!B57,"MM/DD/YYYY")),0)&lt;=DATE(2028,9,30),1,0))</f>
        <v/>
      </c>
      <c r="AA4" s="220">
        <f>IF(Assumptions!B57="",0,IF(IFERROR(DATEVALUE(TEXT(Assumptions!B57,"MM/DD/YYYY")),0)&lt;=DATE(2028,10,31),1,0))</f>
        <v/>
      </c>
      <c r="AB4" s="220">
        <f>IF(Assumptions!B57="",0,IF(IFERROR(DATEVALUE(TEXT(Assumptions!B57,"MM/DD/YYYY")),0)&lt;=DATE(2028,11,30),1,0))</f>
        <v/>
      </c>
      <c r="AC4" s="220">
        <f>IF(Assumptions!B57="",0,IF(IFERROR(DATEVALUE(TEXT(Assumptions!B57,"MM/DD/YYYY")),0)&lt;=DATE(2028,12,31),1,0))</f>
        <v/>
      </c>
      <c r="AD4" s="220">
        <f>IF(Assumptions!B57="",0,IF(IFERROR(DATEVALUE(TEXT(Assumptions!B57,"MM/DD/YYYY")),0)&lt;=DATE(2029,1,31),1,0))</f>
        <v/>
      </c>
      <c r="AE4" s="220">
        <f>IF(Assumptions!B57="",0,IF(IFERROR(DATEVALUE(TEXT(Assumptions!B57,"MM/DD/YYYY")),0)&lt;=DATE(2029,2,28),1,0))</f>
        <v/>
      </c>
      <c r="AF4" s="220">
        <f>IF(Assumptions!B57="",0,IF(IFERROR(DATEVALUE(TEXT(Assumptions!B57,"MM/DD/YYYY")),0)&lt;=DATE(2029,3,31),1,0))</f>
        <v/>
      </c>
      <c r="AG4" s="220">
        <f>IF(Assumptions!B57="",0,IF(IFERROR(DATEVALUE(TEXT(Assumptions!B57,"MM/DD/YYYY")),0)&lt;=DATE(2029,4,30),1,0))</f>
        <v/>
      </c>
      <c r="AH4" s="220">
        <f>IF(Assumptions!B57="",0,IF(IFERROR(DATEVALUE(TEXT(Assumptions!B57,"MM/DD/YYYY")),0)&lt;=DATE(2029,5,31),1,0))</f>
        <v/>
      </c>
      <c r="AI4" s="220">
        <f>IF(Assumptions!B57="",0,IF(IFERROR(DATEVALUE(TEXT(Assumptions!B57,"MM/DD/YYYY")),0)&lt;=DATE(2029,6,30),1,0))</f>
        <v/>
      </c>
      <c r="AJ4" s="220">
        <f>IF(Assumptions!B57="",0,IF(IFERROR(DATEVALUE(TEXT(Assumptions!B57,"MM/DD/YYYY")),0)&lt;=DATE(2029,7,31),1,0))</f>
        <v/>
      </c>
      <c r="AK4" s="220">
        <f>IF(Assumptions!B57="",0,IF(IFERROR(DATEVALUE(TEXT(Assumptions!B57,"MM/DD/YYYY")),0)&lt;=DATE(2029,8,31),1,0))</f>
        <v/>
      </c>
      <c r="AL4" s="220">
        <f>IF(Assumptions!B57="",0,IF(IFERROR(DATEVALUE(TEXT(Assumptions!B57,"MM/DD/YYYY")),0)&lt;=DATE(2029,9,30),1,0))</f>
        <v/>
      </c>
      <c r="AM4" s="220">
        <f>IF(Assumptions!B57="",0,IF(IFERROR(DATEVALUE(TEXT(Assumptions!B57,"MM/DD/YYYY")),0)&lt;=DATE(2029,10,31),1,0))</f>
        <v/>
      </c>
      <c r="AN4" s="220">
        <f>IF(Assumptions!B57="",0,IF(IFERROR(DATEVALUE(TEXT(Assumptions!B57,"MM/DD/YYYY")),0)&lt;=DATE(2029,11,30),1,0))</f>
        <v/>
      </c>
      <c r="AO4" s="220">
        <f>IF(Assumptions!B57="",0,IF(IFERROR(DATEVALUE(TEXT(Assumptions!B57,"MM/DD/YYYY")),0)&lt;=DATE(2029,12,31),1,0))</f>
        <v/>
      </c>
      <c r="AP4" s="220">
        <f>IF(Assumptions!B57="",0,IF(IFERROR(DATEVALUE(TEXT(Assumptions!B57,"MM/DD/YYYY")),0)&lt;=DATE(2030,1,31),1,0))</f>
        <v/>
      </c>
      <c r="AQ4" s="220">
        <f>IF(Assumptions!B57="",0,IF(IFERROR(DATEVALUE(TEXT(Assumptions!B57,"MM/DD/YYYY")),0)&lt;=DATE(2030,2,28),1,0))</f>
        <v/>
      </c>
      <c r="AR4" s="220">
        <f>IF(Assumptions!B57="",0,IF(IFERROR(DATEVALUE(TEXT(Assumptions!B57,"MM/DD/YYYY")),0)&lt;=DATE(2030,3,31),1,0))</f>
        <v/>
      </c>
      <c r="AS4" s="220">
        <f>IF(Assumptions!B57="",0,IF(IFERROR(DATEVALUE(TEXT(Assumptions!B57,"MM/DD/YYYY")),0)&lt;=DATE(2030,4,30),1,0))</f>
        <v/>
      </c>
      <c r="AT4" s="220">
        <f>IF(Assumptions!B57="",0,IF(IFERROR(DATEVALUE(TEXT(Assumptions!B57,"MM/DD/YYYY")),0)&lt;=DATE(2030,5,31),1,0))</f>
        <v/>
      </c>
      <c r="AU4" s="220">
        <f>IF(Assumptions!B57="",0,IF(IFERROR(DATEVALUE(TEXT(Assumptions!B57,"MM/DD/YYYY")),0)&lt;=DATE(2030,6,30),1,0))</f>
        <v/>
      </c>
      <c r="AV4" s="220">
        <f>IF(Assumptions!B57="",0,IF(IFERROR(DATEVALUE(TEXT(Assumptions!B57,"MM/DD/YYYY")),0)&lt;=DATE(2030,7,31),1,0))</f>
        <v/>
      </c>
      <c r="AW4" s="220">
        <f>IF(Assumptions!B57="",0,IF(IFERROR(DATEVALUE(TEXT(Assumptions!B57,"MM/DD/YYYY")),0)&lt;=DATE(2030,8,31),1,0))</f>
        <v/>
      </c>
      <c r="AX4" s="220">
        <f>IF(Assumptions!B57="",0,IF(IFERROR(DATEVALUE(TEXT(Assumptions!B57,"MM/DD/YYYY")),0)&lt;=DATE(2030,9,30),1,0))</f>
        <v/>
      </c>
      <c r="AY4" s="220">
        <f>IF(Assumptions!B57="",0,IF(IFERROR(DATEVALUE(TEXT(Assumptions!B57,"MM/DD/YYYY")),0)&lt;=DATE(2030,10,31),1,0))</f>
        <v/>
      </c>
      <c r="AZ4" s="220">
        <f>IF(Assumptions!B57="",0,IF(IFERROR(DATEVALUE(TEXT(Assumptions!B57,"MM/DD/YYYY")),0)&lt;=DATE(2030,11,30),1,0))</f>
        <v/>
      </c>
      <c r="BA4" s="220">
        <f>IF(Assumptions!B57="",0,IF(IFERROR(DATEVALUE(TEXT(Assumptions!B57,"MM/DD/YYYY")),0)&lt;=DATE(2030,12,31),1,0))</f>
        <v/>
      </c>
      <c r="BB4" s="220">
        <f>IF(Assumptions!B57="",0,IF(IFERROR(DATEVALUE(TEXT(Assumptions!B57,"MM/DD/YYYY")),0)&lt;=DATE(2031,1,31),1,0))</f>
        <v/>
      </c>
      <c r="BC4" s="220">
        <f>IF(Assumptions!B57="",0,IF(IFERROR(DATEVALUE(TEXT(Assumptions!B57,"MM/DD/YYYY")),0)&lt;=DATE(2031,2,28),1,0))</f>
        <v/>
      </c>
      <c r="BD4" s="220">
        <f>IF(Assumptions!B57="",0,IF(IFERROR(DATEVALUE(TEXT(Assumptions!B57,"MM/DD/YYYY")),0)&lt;=DATE(2031,3,31),1,0))</f>
        <v/>
      </c>
      <c r="BE4" s="220">
        <f>IF(Assumptions!B57="",0,IF(IFERROR(DATEVALUE(TEXT(Assumptions!B57,"MM/DD/YYYY")),0)&lt;=DATE(2031,4,30),1,0))</f>
        <v/>
      </c>
      <c r="BF4" s="220">
        <f>IF(Assumptions!B57="",0,IF(IFERROR(DATEVALUE(TEXT(Assumptions!B57,"MM/DD/YYYY")),0)&lt;=DATE(2031,5,31),1,0))</f>
        <v/>
      </c>
      <c r="BG4" s="220">
        <f>IF(Assumptions!B57="",0,IF(IFERROR(DATEVALUE(TEXT(Assumptions!B57,"MM/DD/YYYY")),0)&lt;=DATE(2031,6,30),1,0))</f>
        <v/>
      </c>
      <c r="BH4" s="220">
        <f>IF(Assumptions!B57="",0,IF(IFERROR(DATEVALUE(TEXT(Assumptions!B57,"MM/DD/YYYY")),0)&lt;=DATE(2031,7,31),1,0))</f>
        <v/>
      </c>
      <c r="BI4" s="220">
        <f>IF(Assumptions!B57="",0,IF(IFERROR(DATEVALUE(TEXT(Assumptions!B57,"MM/DD/YYYY")),0)&lt;=DATE(2031,8,31),1,0))</f>
        <v/>
      </c>
      <c r="BJ4" s="220">
        <f>IF(Assumptions!B57="",0,IF(IFERROR(DATEVALUE(TEXT(Assumptions!B57,"MM/DD/YYYY")),0)&lt;=DATE(2031,9,30),1,0))</f>
        <v/>
      </c>
    </row>
    <row r="5" ht="15" customHeight="1" s="104">
      <c r="A5" s="106" t="inlineStr">
        <is>
          <t>REVENUE</t>
        </is>
      </c>
    </row>
    <row r="6" ht="15" customHeight="1" s="104">
      <c r="A6" s="116" t="inlineStr">
        <is>
          <t>Monthly Revenue</t>
        </is>
      </c>
      <c r="C6" s="151">
        <f>IF(C4=0,0,(Assumptions!C57/12))</f>
        <v/>
      </c>
      <c r="D6" s="151">
        <f>IF(D4=0,0,(Assumptions!C57/12)*POWER(1+Assumptions!B17,1/12))</f>
        <v/>
      </c>
      <c r="E6" s="151">
        <f>IF(E4=0,0,(Assumptions!C57/12)*POWER(1+Assumptions!B17,2/12))</f>
        <v/>
      </c>
      <c r="F6" s="151">
        <f>IF(F4=0,0,(Assumptions!C57/12)*POWER(1+Assumptions!B17,3/12))</f>
        <v/>
      </c>
      <c r="G6" s="151">
        <f>IF(G4=0,0,(Assumptions!C57/12)*POWER(1+Assumptions!B17,4/12))</f>
        <v/>
      </c>
      <c r="H6" s="151">
        <f>IF(H4=0,0,(Assumptions!C57/12)*POWER(1+Assumptions!B17,5/12))</f>
        <v/>
      </c>
      <c r="I6" s="151">
        <f>IF(I4=0,0,(Assumptions!C57/12)*POWER(1+Assumptions!B17,6/12))</f>
        <v/>
      </c>
      <c r="J6" s="151">
        <f>IF(J4=0,0,(Assumptions!C57/12)*POWER(1+Assumptions!B17,7/12))</f>
        <v/>
      </c>
      <c r="K6" s="151">
        <f>IF(K4=0,0,(Assumptions!C57/12)*POWER(1+Assumptions!B17,8/12))</f>
        <v/>
      </c>
      <c r="L6" s="151">
        <f>IF(L4=0,0,(Assumptions!C57/12)*POWER(1+Assumptions!B17,9/12))</f>
        <v/>
      </c>
      <c r="M6" s="151">
        <f>IF(M4=0,0,(Assumptions!C57/12)*POWER(1+Assumptions!B17,10/12))</f>
        <v/>
      </c>
      <c r="N6" s="151">
        <f>IF(N4=0,0,(Assumptions!C57/12)*POWER(1+Assumptions!B17,11/12))</f>
        <v/>
      </c>
      <c r="O6" s="151">
        <f>IF(O4=0,0,(Assumptions!C57*(1+Assumptions!B17)/12))</f>
        <v/>
      </c>
      <c r="P6" s="151">
        <f>IF(P4=0,0,(Assumptions!C57*(1+Assumptions!B17)/12)*POWER(1+Assumptions!B18,1/12))</f>
        <v/>
      </c>
      <c r="Q6" s="151">
        <f>IF(Q4=0,0,(Assumptions!C57*(1+Assumptions!B17)/12)*POWER(1+Assumptions!B18,2/12))</f>
        <v/>
      </c>
      <c r="R6" s="151">
        <f>IF(R4=0,0,(Assumptions!C57*(1+Assumptions!B17)/12)*POWER(1+Assumptions!B18,3/12))</f>
        <v/>
      </c>
      <c r="S6" s="151">
        <f>IF(S4=0,0,(Assumptions!C57*(1+Assumptions!B17)/12)*POWER(1+Assumptions!B18,4/12))</f>
        <v/>
      </c>
      <c r="T6" s="151">
        <f>IF(T4=0,0,(Assumptions!C57*(1+Assumptions!B17)/12)*POWER(1+Assumptions!B18,5/12))</f>
        <v/>
      </c>
      <c r="U6" s="151">
        <f>IF(U4=0,0,(Assumptions!C57*(1+Assumptions!B17)/12)*POWER(1+Assumptions!B18,6/12))</f>
        <v/>
      </c>
      <c r="V6" s="151">
        <f>IF(V4=0,0,(Assumptions!C57*(1+Assumptions!B17)/12)*POWER(1+Assumptions!B18,7/12))</f>
        <v/>
      </c>
      <c r="W6" s="151">
        <f>IF(W4=0,0,(Assumptions!C57*(1+Assumptions!B17)/12)*POWER(1+Assumptions!B18,8/12))</f>
        <v/>
      </c>
      <c r="X6" s="151">
        <f>IF(X4=0,0,(Assumptions!C57*(1+Assumptions!B17)/12)*POWER(1+Assumptions!B18,9/12))</f>
        <v/>
      </c>
      <c r="Y6" s="151">
        <f>IF(Y4=0,0,(Assumptions!C57*(1+Assumptions!B17)/12)*POWER(1+Assumptions!B18,10/12))</f>
        <v/>
      </c>
      <c r="Z6" s="151">
        <f>IF(Z4=0,0,(Assumptions!C57*(1+Assumptions!B17)/12)*POWER(1+Assumptions!B18,11/12))</f>
        <v/>
      </c>
      <c r="AA6" s="151">
        <f>IF(AA4=0,0,(Assumptions!C57*(1+Assumptions!B17)*(1+Assumptions!B18)/12))</f>
        <v/>
      </c>
      <c r="AB6" s="151">
        <f>IF(AB4=0,0,(Assumptions!C57*(1+Assumptions!B17)*(1+Assumptions!B18)/12)*POWER(1+Assumptions!B19,1/12))</f>
        <v/>
      </c>
      <c r="AC6" s="151">
        <f>IF(AC4=0,0,(Assumptions!C57*(1+Assumptions!B17)*(1+Assumptions!B18)/12)*POWER(1+Assumptions!B19,2/12))</f>
        <v/>
      </c>
      <c r="AD6" s="151">
        <f>IF(AD4=0,0,(Assumptions!C57*(1+Assumptions!B17)*(1+Assumptions!B18)/12)*POWER(1+Assumptions!B19,3/12))</f>
        <v/>
      </c>
      <c r="AE6" s="151">
        <f>IF(AE4=0,0,(Assumptions!C57*(1+Assumptions!B17)*(1+Assumptions!B18)/12)*POWER(1+Assumptions!B19,4/12))</f>
        <v/>
      </c>
      <c r="AF6" s="151">
        <f>IF(AF4=0,0,(Assumptions!C57*(1+Assumptions!B17)*(1+Assumptions!B18)/12)*POWER(1+Assumptions!B19,5/12))</f>
        <v/>
      </c>
      <c r="AG6" s="151">
        <f>IF(AG4=0,0,(Assumptions!C57*(1+Assumptions!B17)*(1+Assumptions!B18)/12)*POWER(1+Assumptions!B19,6/12))</f>
        <v/>
      </c>
      <c r="AH6" s="151">
        <f>IF(AH4=0,0,(Assumptions!C57*(1+Assumptions!B17)*(1+Assumptions!B18)/12)*POWER(1+Assumptions!B19,7/12))</f>
        <v/>
      </c>
      <c r="AI6" s="151">
        <f>IF(AI4=0,0,(Assumptions!C57*(1+Assumptions!B17)*(1+Assumptions!B18)/12)*POWER(1+Assumptions!B19,8/12))</f>
        <v/>
      </c>
      <c r="AJ6" s="151">
        <f>IF(AJ4=0,0,(Assumptions!C57*(1+Assumptions!B17)*(1+Assumptions!B18)/12)*POWER(1+Assumptions!B19,9/12))</f>
        <v/>
      </c>
      <c r="AK6" s="151">
        <f>IF(AK4=0,0,(Assumptions!C57*(1+Assumptions!B17)*(1+Assumptions!B18)/12)*POWER(1+Assumptions!B19,10/12))</f>
        <v/>
      </c>
      <c r="AL6" s="151">
        <f>IF(AL4=0,0,(Assumptions!C57*(1+Assumptions!B17)*(1+Assumptions!B18)/12)*POWER(1+Assumptions!B19,11/12))</f>
        <v/>
      </c>
      <c r="AM6" s="151">
        <f>IF(AM4=0,0,(Assumptions!C57*(1+Assumptions!B17)*(1+Assumptions!B18)*(1+Assumptions!B19)/12))</f>
        <v/>
      </c>
      <c r="AN6" s="151">
        <f>IF(AN4=0,0,(Assumptions!C57*(1+Assumptions!B17)*(1+Assumptions!B18)*(1+Assumptions!B19)/12)*POWER(1+Assumptions!B20,1/12))</f>
        <v/>
      </c>
      <c r="AO6" s="151">
        <f>IF(AO4=0,0,(Assumptions!C57*(1+Assumptions!B17)*(1+Assumptions!B18)*(1+Assumptions!B19)/12)*POWER(1+Assumptions!B20,2/12))</f>
        <v/>
      </c>
      <c r="AP6" s="151">
        <f>IF(AP4=0,0,(Assumptions!C57*(1+Assumptions!B17)*(1+Assumptions!B18)*(1+Assumptions!B19)/12)*POWER(1+Assumptions!B20,3/12))</f>
        <v/>
      </c>
      <c r="AQ6" s="151">
        <f>IF(AQ4=0,0,(Assumptions!C57*(1+Assumptions!B17)*(1+Assumptions!B18)*(1+Assumptions!B19)/12)*POWER(1+Assumptions!B20,4/12))</f>
        <v/>
      </c>
      <c r="AR6" s="151">
        <f>IF(AR4=0,0,(Assumptions!C57*(1+Assumptions!B17)*(1+Assumptions!B18)*(1+Assumptions!B19)/12)*POWER(1+Assumptions!B20,5/12))</f>
        <v/>
      </c>
      <c r="AS6" s="151">
        <f>IF(AS4=0,0,(Assumptions!C57*(1+Assumptions!B17)*(1+Assumptions!B18)*(1+Assumptions!B19)/12)*POWER(1+Assumptions!B20,6/12))</f>
        <v/>
      </c>
      <c r="AT6" s="151">
        <f>IF(AT4=0,0,(Assumptions!C57*(1+Assumptions!B17)*(1+Assumptions!B18)*(1+Assumptions!B19)/12)*POWER(1+Assumptions!B20,7/12))</f>
        <v/>
      </c>
      <c r="AU6" s="151">
        <f>IF(AU4=0,0,(Assumptions!C57*(1+Assumptions!B17)*(1+Assumptions!B18)*(1+Assumptions!B19)/12)*POWER(1+Assumptions!B20,8/12))</f>
        <v/>
      </c>
      <c r="AV6" s="151">
        <f>IF(AV4=0,0,(Assumptions!C57*(1+Assumptions!B17)*(1+Assumptions!B18)*(1+Assumptions!B19)/12)*POWER(1+Assumptions!B20,9/12))</f>
        <v/>
      </c>
      <c r="AW6" s="151">
        <f>IF(AW4=0,0,(Assumptions!C57*(1+Assumptions!B17)*(1+Assumptions!B18)*(1+Assumptions!B19)/12)*POWER(1+Assumptions!B20,10/12))</f>
        <v/>
      </c>
      <c r="AX6" s="151">
        <f>IF(AX4=0,0,(Assumptions!C57*(1+Assumptions!B17)*(1+Assumptions!B18)*(1+Assumptions!B19)/12)*POWER(1+Assumptions!B20,11/12))</f>
        <v/>
      </c>
      <c r="AY6" s="151">
        <f>IF(AY4=0,0,(Assumptions!C57*(1+Assumptions!B17)*(1+Assumptions!B18)*(1+Assumptions!B19)*(1+Assumptions!B20)/12))</f>
        <v/>
      </c>
      <c r="AZ6" s="151">
        <f>IF(AZ4=0,0,(Assumptions!C57*(1+Assumptions!B17)*(1+Assumptions!B18)*(1+Assumptions!B19)*(1+Assumptions!B20)/12)*POWER(1+Assumptions!B21,1/12))</f>
        <v/>
      </c>
      <c r="BA6" s="151">
        <f>IF(BA4=0,0,(Assumptions!C57*(1+Assumptions!B17)*(1+Assumptions!B18)*(1+Assumptions!B19)*(1+Assumptions!B20)/12)*POWER(1+Assumptions!B21,2/12))</f>
        <v/>
      </c>
      <c r="BB6" s="151">
        <f>IF(BB4=0,0,(Assumptions!C57*(1+Assumptions!B17)*(1+Assumptions!B18)*(1+Assumptions!B19)*(1+Assumptions!B20)/12)*POWER(1+Assumptions!B21,3/12))</f>
        <v/>
      </c>
      <c r="BC6" s="151">
        <f>IF(BC4=0,0,(Assumptions!C57*(1+Assumptions!B17)*(1+Assumptions!B18)*(1+Assumptions!B19)*(1+Assumptions!B20)/12)*POWER(1+Assumptions!B21,4/12))</f>
        <v/>
      </c>
      <c r="BD6" s="151">
        <f>IF(BD4=0,0,(Assumptions!C57*(1+Assumptions!B17)*(1+Assumptions!B18)*(1+Assumptions!B19)*(1+Assumptions!B20)/12)*POWER(1+Assumptions!B21,5/12))</f>
        <v/>
      </c>
      <c r="BE6" s="151">
        <f>IF(BE4=0,0,(Assumptions!C57*(1+Assumptions!B17)*(1+Assumptions!B18)*(1+Assumptions!B19)*(1+Assumptions!B20)/12)*POWER(1+Assumptions!B21,6/12))</f>
        <v/>
      </c>
      <c r="BF6" s="151">
        <f>IF(BF4=0,0,(Assumptions!C57*(1+Assumptions!B17)*(1+Assumptions!B18)*(1+Assumptions!B19)*(1+Assumptions!B20)/12)*POWER(1+Assumptions!B21,7/12))</f>
        <v/>
      </c>
      <c r="BG6" s="151">
        <f>IF(BG4=0,0,(Assumptions!C57*(1+Assumptions!B17)*(1+Assumptions!B18)*(1+Assumptions!B19)*(1+Assumptions!B20)/12)*POWER(1+Assumptions!B21,8/12))</f>
        <v/>
      </c>
      <c r="BH6" s="151">
        <f>IF(BH4=0,0,(Assumptions!C57*(1+Assumptions!B17)*(1+Assumptions!B18)*(1+Assumptions!B19)*(1+Assumptions!B20)/12)*POWER(1+Assumptions!B21,9/12))</f>
        <v/>
      </c>
      <c r="BI6" s="151">
        <f>IF(BI4=0,0,(Assumptions!C57*(1+Assumptions!B17)*(1+Assumptions!B18)*(1+Assumptions!B19)*(1+Assumptions!B20)/12)*POWER(1+Assumptions!B21,10/12))</f>
        <v/>
      </c>
      <c r="BJ6" s="151">
        <f>IF(BJ4=0,0,(Assumptions!C57*(1+Assumptions!B17)*(1+Assumptions!B18)*(1+Assumptions!B19)*(1+Assumptions!B20)/12)*POWER(1+Assumptions!B21,11/12))</f>
        <v/>
      </c>
      <c r="BL6" s="152">
        <f>C6+D6+E6+F6+G6+H6+I6+J6+K6+L6+M6+N6</f>
        <v/>
      </c>
      <c r="BM6" s="152">
        <f>O6+P6+Q6+R6+S6+T6+U6+V6+W6+X6+Y6+Z6</f>
        <v/>
      </c>
      <c r="BN6" s="152">
        <f>AA6+AB6+AC6+AD6+AE6+AF6+AG6+AH6+AI6+AJ6+AK6+AL6</f>
        <v/>
      </c>
      <c r="BO6" s="152">
        <f>AM6+AN6+AO6+AP6+AQ6+AR6+AS6+AT6+AU6+AV6+AW6+AX6</f>
        <v/>
      </c>
      <c r="BP6" s="152">
        <f>AY6+AZ6+BA6+BB6+BC6+BD6+BE6+BF6+BG6+BH6+BI6+BJ6</f>
        <v/>
      </c>
    </row>
    <row r="7" ht="15" customHeight="1" s="104">
      <c r="A7" s="106" t="inlineStr">
        <is>
          <t>OPERATING EXPENSES</t>
        </is>
      </c>
    </row>
    <row r="8" ht="15" customHeight="1" s="104">
      <c r="A8" s="107" t="inlineStr">
        <is>
          <t>Attorney Compensation</t>
        </is>
      </c>
      <c r="C8" s="156">
        <f>C6*(Assumptions!B24+Assumptions!B25*0)</f>
        <v/>
      </c>
      <c r="D8" s="156">
        <f>D6*(Assumptions!B24+Assumptions!B25*0)</f>
        <v/>
      </c>
      <c r="E8" s="156">
        <f>E6*(Assumptions!B24+Assumptions!B25*0)</f>
        <v/>
      </c>
      <c r="F8" s="156">
        <f>F6*(Assumptions!B24+Assumptions!B25*0)</f>
        <v/>
      </c>
      <c r="G8" s="156">
        <f>G6*(Assumptions!B24+Assumptions!B25*0)</f>
        <v/>
      </c>
      <c r="H8" s="156">
        <f>H6*(Assumptions!B24+Assumptions!B25*0)</f>
        <v/>
      </c>
      <c r="I8" s="156">
        <f>I6*(Assumptions!B24+Assumptions!B25*0)</f>
        <v/>
      </c>
      <c r="J8" s="156">
        <f>J6*(Assumptions!B24+Assumptions!B25*0)</f>
        <v/>
      </c>
      <c r="K8" s="156">
        <f>K6*(Assumptions!B24+Assumptions!B25*0)</f>
        <v/>
      </c>
      <c r="L8" s="156">
        <f>L6*(Assumptions!B24+Assumptions!B25*0)</f>
        <v/>
      </c>
      <c r="M8" s="156">
        <f>M6*(Assumptions!B24+Assumptions!B25*0)</f>
        <v/>
      </c>
      <c r="N8" s="156">
        <f>N6*(Assumptions!B24+Assumptions!B25*0)</f>
        <v/>
      </c>
      <c r="O8" s="156">
        <f>O6*(Assumptions!B24+Assumptions!B25*1)</f>
        <v/>
      </c>
      <c r="P8" s="156">
        <f>P6*(Assumptions!B24+Assumptions!B25*1)</f>
        <v/>
      </c>
      <c r="Q8" s="156">
        <f>Q6*(Assumptions!B24+Assumptions!B25*1)</f>
        <v/>
      </c>
      <c r="R8" s="156">
        <f>R6*(Assumptions!B24+Assumptions!B25*1)</f>
        <v/>
      </c>
      <c r="S8" s="156">
        <f>S6*(Assumptions!B24+Assumptions!B25*1)</f>
        <v/>
      </c>
      <c r="T8" s="156">
        <f>T6*(Assumptions!B24+Assumptions!B25*1)</f>
        <v/>
      </c>
      <c r="U8" s="156">
        <f>U6*(Assumptions!B24+Assumptions!B25*1)</f>
        <v/>
      </c>
      <c r="V8" s="156">
        <f>V6*(Assumptions!B24+Assumptions!B25*1)</f>
        <v/>
      </c>
      <c r="W8" s="156">
        <f>W6*(Assumptions!B24+Assumptions!B25*1)</f>
        <v/>
      </c>
      <c r="X8" s="156">
        <f>X6*(Assumptions!B24+Assumptions!B25*1)</f>
        <v/>
      </c>
      <c r="Y8" s="156">
        <f>Y6*(Assumptions!B24+Assumptions!B25*1)</f>
        <v/>
      </c>
      <c r="Z8" s="156">
        <f>Z6*(Assumptions!B24+Assumptions!B25*1)</f>
        <v/>
      </c>
      <c r="AA8" s="156">
        <f>AA6*(Assumptions!B24+Assumptions!B25*2)</f>
        <v/>
      </c>
      <c r="AB8" s="156">
        <f>AB6*(Assumptions!B24+Assumptions!B25*2)</f>
        <v/>
      </c>
      <c r="AC8" s="156">
        <f>AC6*(Assumptions!B24+Assumptions!B25*2)</f>
        <v/>
      </c>
      <c r="AD8" s="156">
        <f>AD6*(Assumptions!B24+Assumptions!B25*2)</f>
        <v/>
      </c>
      <c r="AE8" s="156">
        <f>AE6*(Assumptions!B24+Assumptions!B25*2)</f>
        <v/>
      </c>
      <c r="AF8" s="156">
        <f>AF6*(Assumptions!B24+Assumptions!B25*2)</f>
        <v/>
      </c>
      <c r="AG8" s="156">
        <f>AG6*(Assumptions!B24+Assumptions!B25*2)</f>
        <v/>
      </c>
      <c r="AH8" s="156">
        <f>AH6*(Assumptions!B24+Assumptions!B25*2)</f>
        <v/>
      </c>
      <c r="AI8" s="156">
        <f>AI6*(Assumptions!B24+Assumptions!B25*2)</f>
        <v/>
      </c>
      <c r="AJ8" s="156">
        <f>AJ6*(Assumptions!B24+Assumptions!B25*2)</f>
        <v/>
      </c>
      <c r="AK8" s="156">
        <f>AK6*(Assumptions!B24+Assumptions!B25*2)</f>
        <v/>
      </c>
      <c r="AL8" s="156">
        <f>AL6*(Assumptions!B24+Assumptions!B25*2)</f>
        <v/>
      </c>
      <c r="AM8" s="156">
        <f>AM6*(Assumptions!B24+Assumptions!B25*3)</f>
        <v/>
      </c>
      <c r="AN8" s="156">
        <f>AN6*(Assumptions!B24+Assumptions!B25*3)</f>
        <v/>
      </c>
      <c r="AO8" s="156">
        <f>AO6*(Assumptions!B24+Assumptions!B25*3)</f>
        <v/>
      </c>
      <c r="AP8" s="156">
        <f>AP6*(Assumptions!B24+Assumptions!B25*3)</f>
        <v/>
      </c>
      <c r="AQ8" s="156">
        <f>AQ6*(Assumptions!B24+Assumptions!B25*3)</f>
        <v/>
      </c>
      <c r="AR8" s="156">
        <f>AR6*(Assumptions!B24+Assumptions!B25*3)</f>
        <v/>
      </c>
      <c r="AS8" s="156">
        <f>AS6*(Assumptions!B24+Assumptions!B25*3)</f>
        <v/>
      </c>
      <c r="AT8" s="156">
        <f>AT6*(Assumptions!B24+Assumptions!B25*3)</f>
        <v/>
      </c>
      <c r="AU8" s="156">
        <f>AU6*(Assumptions!B24+Assumptions!B25*3)</f>
        <v/>
      </c>
      <c r="AV8" s="156">
        <f>AV6*(Assumptions!B24+Assumptions!B25*3)</f>
        <v/>
      </c>
      <c r="AW8" s="156">
        <f>AW6*(Assumptions!B24+Assumptions!B25*3)</f>
        <v/>
      </c>
      <c r="AX8" s="156">
        <f>AX6*(Assumptions!B24+Assumptions!B25*3)</f>
        <v/>
      </c>
      <c r="AY8" s="156">
        <f>AY6*(Assumptions!B24+Assumptions!B25*4)</f>
        <v/>
      </c>
      <c r="AZ8" s="156">
        <f>AZ6*(Assumptions!B24+Assumptions!B25*4)</f>
        <v/>
      </c>
      <c r="BA8" s="156">
        <f>BA6*(Assumptions!B24+Assumptions!B25*4)</f>
        <v/>
      </c>
      <c r="BB8" s="156">
        <f>BB6*(Assumptions!B24+Assumptions!B25*4)</f>
        <v/>
      </c>
      <c r="BC8" s="156">
        <f>BC6*(Assumptions!B24+Assumptions!B25*4)</f>
        <v/>
      </c>
      <c r="BD8" s="156">
        <f>BD6*(Assumptions!B24+Assumptions!B25*4)</f>
        <v/>
      </c>
      <c r="BE8" s="156">
        <f>BE6*(Assumptions!B24+Assumptions!B25*4)</f>
        <v/>
      </c>
      <c r="BF8" s="156">
        <f>BF6*(Assumptions!B24+Assumptions!B25*4)</f>
        <v/>
      </c>
      <c r="BG8" s="156">
        <f>BG6*(Assumptions!B24+Assumptions!B25*4)</f>
        <v/>
      </c>
      <c r="BH8" s="156">
        <f>BH6*(Assumptions!B24+Assumptions!B25*4)</f>
        <v/>
      </c>
      <c r="BI8" s="156">
        <f>BI6*(Assumptions!B24+Assumptions!B25*4)</f>
        <v/>
      </c>
      <c r="BJ8" s="156">
        <f>BJ6*(Assumptions!B24+Assumptions!B25*4)</f>
        <v/>
      </c>
      <c r="BL8" s="157">
        <f>C8+D8+E8+F8+G8+H8+I8+J8+K8+L8+M8+N8</f>
        <v/>
      </c>
      <c r="BM8" s="157">
        <f>O8+P8+Q8+R8+S8+T8+U8+V8+W8+X8+Y8+Z8</f>
        <v/>
      </c>
      <c r="BN8" s="157">
        <f>AA8+AB8+AC8+AD8+AE8+AF8+AG8+AH8+AI8+AJ8+AK8+AL8</f>
        <v/>
      </c>
      <c r="BO8" s="157">
        <f>AM8+AN8+AO8+AP8+AQ8+AR8+AS8+AT8+AU8+AV8+AW8+AX8</f>
        <v/>
      </c>
      <c r="BP8" s="157">
        <f>AY8+AZ8+BA8+BB8+BC8+BD8+BE8+BF8+BG8+BH8+BI8+BJ8</f>
        <v/>
      </c>
    </row>
    <row r="9" ht="15" customHeight="1" s="104">
      <c r="A9" s="215" t="inlineStr">
        <is>
          <t xml:space="preserve">    % of Revenue</t>
        </is>
      </c>
      <c r="C9" s="216">
        <f>IF(C6=0,0,C8/C6)</f>
        <v/>
      </c>
      <c r="D9" s="216">
        <f>IF(D6=0,0,D8/D6)</f>
        <v/>
      </c>
      <c r="E9" s="216">
        <f>IF(E6=0,0,E8/E6)</f>
        <v/>
      </c>
      <c r="F9" s="216">
        <f>IF(F6=0,0,F8/F6)</f>
        <v/>
      </c>
      <c r="G9" s="216">
        <f>IF(G6=0,0,G8/G6)</f>
        <v/>
      </c>
      <c r="H9" s="216">
        <f>IF(H6=0,0,H8/H6)</f>
        <v/>
      </c>
      <c r="I9" s="216">
        <f>IF(I6=0,0,I8/I6)</f>
        <v/>
      </c>
      <c r="J9" s="216">
        <f>IF(J6=0,0,J8/J6)</f>
        <v/>
      </c>
      <c r="K9" s="216">
        <f>IF(K6=0,0,K8/K6)</f>
        <v/>
      </c>
      <c r="L9" s="216">
        <f>IF(L6=0,0,L8/L6)</f>
        <v/>
      </c>
      <c r="M9" s="216">
        <f>IF(M6=0,0,M8/M6)</f>
        <v/>
      </c>
      <c r="N9" s="216">
        <f>IF(N6=0,0,N8/N6)</f>
        <v/>
      </c>
      <c r="O9" s="216">
        <f>IF(O6=0,0,O8/O6)</f>
        <v/>
      </c>
      <c r="P9" s="216">
        <f>IF(P6=0,0,P8/P6)</f>
        <v/>
      </c>
      <c r="Q9" s="216">
        <f>IF(Q6=0,0,Q8/Q6)</f>
        <v/>
      </c>
      <c r="R9" s="216">
        <f>IF(R6=0,0,R8/R6)</f>
        <v/>
      </c>
      <c r="S9" s="216">
        <f>IF(S6=0,0,S8/S6)</f>
        <v/>
      </c>
      <c r="T9" s="216">
        <f>IF(T6=0,0,T8/T6)</f>
        <v/>
      </c>
      <c r="U9" s="216">
        <f>IF(U6=0,0,U8/U6)</f>
        <v/>
      </c>
      <c r="V9" s="216">
        <f>IF(V6=0,0,V8/V6)</f>
        <v/>
      </c>
      <c r="W9" s="216">
        <f>IF(W6=0,0,W8/W6)</f>
        <v/>
      </c>
      <c r="X9" s="216">
        <f>IF(X6=0,0,X8/X6)</f>
        <v/>
      </c>
      <c r="Y9" s="216">
        <f>IF(Y6=0,0,Y8/Y6)</f>
        <v/>
      </c>
      <c r="Z9" s="216">
        <f>IF(Z6=0,0,Z8/Z6)</f>
        <v/>
      </c>
      <c r="AA9" s="216">
        <f>IF(AA6=0,0,AA8/AA6)</f>
        <v/>
      </c>
      <c r="AB9" s="216">
        <f>IF(AB6=0,0,AB8/AB6)</f>
        <v/>
      </c>
      <c r="AC9" s="216">
        <f>IF(AC6=0,0,AC8/AC6)</f>
        <v/>
      </c>
      <c r="AD9" s="216">
        <f>IF(AD6=0,0,AD8/AD6)</f>
        <v/>
      </c>
      <c r="AE9" s="216">
        <f>IF(AE6=0,0,AE8/AE6)</f>
        <v/>
      </c>
      <c r="AF9" s="216">
        <f>IF(AF6=0,0,AF8/AF6)</f>
        <v/>
      </c>
      <c r="AG9" s="216">
        <f>IF(AG6=0,0,AG8/AG6)</f>
        <v/>
      </c>
      <c r="AH9" s="216">
        <f>IF(AH6=0,0,AH8/AH6)</f>
        <v/>
      </c>
      <c r="AI9" s="216">
        <f>IF(AI6=0,0,AI8/AI6)</f>
        <v/>
      </c>
      <c r="AJ9" s="216">
        <f>IF(AJ6=0,0,AJ8/AJ6)</f>
        <v/>
      </c>
      <c r="AK9" s="216">
        <f>IF(AK6=0,0,AK8/AK6)</f>
        <v/>
      </c>
      <c r="AL9" s="216">
        <f>IF(AL6=0,0,AL8/AL6)</f>
        <v/>
      </c>
      <c r="AM9" s="216">
        <f>IF(AM6=0,0,AM8/AM6)</f>
        <v/>
      </c>
      <c r="AN9" s="216">
        <f>IF(AN6=0,0,AN8/AN6)</f>
        <v/>
      </c>
      <c r="AO9" s="216">
        <f>IF(AO6=0,0,AO8/AO6)</f>
        <v/>
      </c>
      <c r="AP9" s="216">
        <f>IF(AP6=0,0,AP8/AP6)</f>
        <v/>
      </c>
      <c r="AQ9" s="216">
        <f>IF(AQ6=0,0,AQ8/AQ6)</f>
        <v/>
      </c>
      <c r="AR9" s="216">
        <f>IF(AR6=0,0,AR8/AR6)</f>
        <v/>
      </c>
      <c r="AS9" s="216">
        <f>IF(AS6=0,0,AS8/AS6)</f>
        <v/>
      </c>
      <c r="AT9" s="216">
        <f>IF(AT6=0,0,AT8/AT6)</f>
        <v/>
      </c>
      <c r="AU9" s="216">
        <f>IF(AU6=0,0,AU8/AU6)</f>
        <v/>
      </c>
      <c r="AV9" s="216">
        <f>IF(AV6=0,0,AV8/AV6)</f>
        <v/>
      </c>
      <c r="AW9" s="216">
        <f>IF(AW6=0,0,AW8/AW6)</f>
        <v/>
      </c>
      <c r="AX9" s="216">
        <f>IF(AX6=0,0,AX8/AX6)</f>
        <v/>
      </c>
      <c r="AY9" s="216">
        <f>IF(AY6=0,0,AY8/AY6)</f>
        <v/>
      </c>
      <c r="AZ9" s="216">
        <f>IF(AZ6=0,0,AZ8/AZ6)</f>
        <v/>
      </c>
      <c r="BA9" s="216">
        <f>IF(BA6=0,0,BA8/BA6)</f>
        <v/>
      </c>
      <c r="BB9" s="216">
        <f>IF(BB6=0,0,BB8/BB6)</f>
        <v/>
      </c>
      <c r="BC9" s="216">
        <f>IF(BC6=0,0,BC8/BC6)</f>
        <v/>
      </c>
      <c r="BD9" s="216">
        <f>IF(BD6=0,0,BD8/BD6)</f>
        <v/>
      </c>
      <c r="BE9" s="216">
        <f>IF(BE6=0,0,BE8/BE6)</f>
        <v/>
      </c>
      <c r="BF9" s="216">
        <f>IF(BF6=0,0,BF8/BF6)</f>
        <v/>
      </c>
      <c r="BG9" s="216">
        <f>IF(BG6=0,0,BG8/BG6)</f>
        <v/>
      </c>
      <c r="BH9" s="216">
        <f>IF(BH6=0,0,BH8/BH6)</f>
        <v/>
      </c>
      <c r="BI9" s="216">
        <f>IF(BI6=0,0,BI8/BI6)</f>
        <v/>
      </c>
      <c r="BJ9" s="216">
        <f>IF(BJ6=0,0,BJ8/BJ6)</f>
        <v/>
      </c>
      <c r="BL9" s="217">
        <f>IF((C6+D6+E6+F6+G6+H6+I6+J6+K6+L6+M6+N6)=0,0,(C8+D8+E8+F8+G8+H8+I8+J8+K8+L8+M8+N8)/(C6+D6+E6+F6+G6+H6+I6+J6+K6+L6+M6+N6))</f>
        <v/>
      </c>
      <c r="BM9" s="217">
        <f>IF((O6+P6+Q6+R6+S6+T6+U6+V6+W6+X6+Y6+Z6)=0,0,(O8+P8+Q8+R8+S8+T8+U8+V8+W8+X8+Y8+Z8)/(O6+P6+Q6+R6+S6+T6+U6+V6+W6+X6+Y6+Z6))</f>
        <v/>
      </c>
      <c r="BN9" s="217">
        <f>IF((AA6+AB6+AC6+AD6+AE6+AF6+AG6+AH6+AI6+AJ6+AK6+AL6)=0,0,(AA8+AB8+AC8+AD8+AE8+AF8+AG8+AH8+AI8+AJ8+AK8+AL8)/(AA6+AB6+AC6+AD6+AE6+AF6+AG6+AH6+AI6+AJ6+AK6+AL6))</f>
        <v/>
      </c>
      <c r="BO9" s="217">
        <f>IF((AM6+AN6+AO6+AP6+AQ6+AR6+AS6+AT6+AU6+AV6+AW6+AX6)=0,0,(AM8+AN8+AO8+AP8+AQ8+AR8+AS8+AT8+AU8+AV8+AW8+AX8)/(AM6+AN6+AO6+AP6+AQ6+AR6+AS6+AT6+AU6+AV6+AW6+AX6))</f>
        <v/>
      </c>
      <c r="BP9" s="217">
        <f>IF((AY6+AZ6+BA6+BB6+BC6+BD6+BE6+BF6+BG6+BH6+BI6+BJ6)=0,0,(AY8+AZ8+BA8+BB8+BC8+BD8+BE8+BF8+BG8+BH8+BI8+BJ8)/(AY6+AZ6+BA6+BB6+BC6+BD6+BE6+BF6+BG6+BH6+BI6+BJ6))</f>
        <v/>
      </c>
    </row>
    <row r="10" ht="15" customHeight="1" s="104">
      <c r="A10" s="107" t="inlineStr">
        <is>
          <t>Staff Compensation</t>
        </is>
      </c>
      <c r="C10" s="156">
        <f>C6*(Assumptions!B26+Assumptions!B27*0)</f>
        <v/>
      </c>
      <c r="D10" s="156">
        <f>D6*(Assumptions!B26+Assumptions!B27*0)</f>
        <v/>
      </c>
      <c r="E10" s="156">
        <f>E6*(Assumptions!B26+Assumptions!B27*0)</f>
        <v/>
      </c>
      <c r="F10" s="156">
        <f>F6*(Assumptions!B26+Assumptions!B27*0)</f>
        <v/>
      </c>
      <c r="G10" s="156">
        <f>G6*(Assumptions!B26+Assumptions!B27*0)</f>
        <v/>
      </c>
      <c r="H10" s="156">
        <f>H6*(Assumptions!B26+Assumptions!B27*0)</f>
        <v/>
      </c>
      <c r="I10" s="156">
        <f>I6*(Assumptions!B26+Assumptions!B27*0)</f>
        <v/>
      </c>
      <c r="J10" s="156">
        <f>J6*(Assumptions!B26+Assumptions!B27*0)</f>
        <v/>
      </c>
      <c r="K10" s="156">
        <f>K6*(Assumptions!B26+Assumptions!B27*0)</f>
        <v/>
      </c>
      <c r="L10" s="156">
        <f>L6*(Assumptions!B26+Assumptions!B27*0)</f>
        <v/>
      </c>
      <c r="M10" s="156">
        <f>M6*(Assumptions!B26+Assumptions!B27*0)</f>
        <v/>
      </c>
      <c r="N10" s="156">
        <f>N6*(Assumptions!B26+Assumptions!B27*0)</f>
        <v/>
      </c>
      <c r="O10" s="156">
        <f>O6*(Assumptions!B26+Assumptions!B27*1)</f>
        <v/>
      </c>
      <c r="P10" s="156">
        <f>P6*(Assumptions!B26+Assumptions!B27*1)</f>
        <v/>
      </c>
      <c r="Q10" s="156">
        <f>Q6*(Assumptions!B26+Assumptions!B27*1)</f>
        <v/>
      </c>
      <c r="R10" s="156">
        <f>R6*(Assumptions!B26+Assumptions!B27*1)</f>
        <v/>
      </c>
      <c r="S10" s="156">
        <f>S6*(Assumptions!B26+Assumptions!B27*1)</f>
        <v/>
      </c>
      <c r="T10" s="156">
        <f>T6*(Assumptions!B26+Assumptions!B27*1)</f>
        <v/>
      </c>
      <c r="U10" s="156">
        <f>U6*(Assumptions!B26+Assumptions!B27*1)</f>
        <v/>
      </c>
      <c r="V10" s="156">
        <f>V6*(Assumptions!B26+Assumptions!B27*1)</f>
        <v/>
      </c>
      <c r="W10" s="156">
        <f>W6*(Assumptions!B26+Assumptions!B27*1)</f>
        <v/>
      </c>
      <c r="X10" s="156">
        <f>X6*(Assumptions!B26+Assumptions!B27*1)</f>
        <v/>
      </c>
      <c r="Y10" s="156">
        <f>Y6*(Assumptions!B26+Assumptions!B27*1)</f>
        <v/>
      </c>
      <c r="Z10" s="156">
        <f>Z6*(Assumptions!B26+Assumptions!B27*1)</f>
        <v/>
      </c>
      <c r="AA10" s="156">
        <f>AA6*(Assumptions!B26+Assumptions!B27*2)</f>
        <v/>
      </c>
      <c r="AB10" s="156">
        <f>AB6*(Assumptions!B26+Assumptions!B27*2)</f>
        <v/>
      </c>
      <c r="AC10" s="156">
        <f>AC6*(Assumptions!B26+Assumptions!B27*2)</f>
        <v/>
      </c>
      <c r="AD10" s="156">
        <f>AD6*(Assumptions!B26+Assumptions!B27*2)</f>
        <v/>
      </c>
      <c r="AE10" s="156">
        <f>AE6*(Assumptions!B26+Assumptions!B27*2)</f>
        <v/>
      </c>
      <c r="AF10" s="156">
        <f>AF6*(Assumptions!B26+Assumptions!B27*2)</f>
        <v/>
      </c>
      <c r="AG10" s="156">
        <f>AG6*(Assumptions!B26+Assumptions!B27*2)</f>
        <v/>
      </c>
      <c r="AH10" s="156">
        <f>AH6*(Assumptions!B26+Assumptions!B27*2)</f>
        <v/>
      </c>
      <c r="AI10" s="156">
        <f>AI6*(Assumptions!B26+Assumptions!B27*2)</f>
        <v/>
      </c>
      <c r="AJ10" s="156">
        <f>AJ6*(Assumptions!B26+Assumptions!B27*2)</f>
        <v/>
      </c>
      <c r="AK10" s="156">
        <f>AK6*(Assumptions!B26+Assumptions!B27*2)</f>
        <v/>
      </c>
      <c r="AL10" s="156">
        <f>AL6*(Assumptions!B26+Assumptions!B27*2)</f>
        <v/>
      </c>
      <c r="AM10" s="156">
        <f>AM6*(Assumptions!B26+Assumptions!B27*3)</f>
        <v/>
      </c>
      <c r="AN10" s="156">
        <f>AN6*(Assumptions!B26+Assumptions!B27*3)</f>
        <v/>
      </c>
      <c r="AO10" s="156">
        <f>AO6*(Assumptions!B26+Assumptions!B27*3)</f>
        <v/>
      </c>
      <c r="AP10" s="156">
        <f>AP6*(Assumptions!B26+Assumptions!B27*3)</f>
        <v/>
      </c>
      <c r="AQ10" s="156">
        <f>AQ6*(Assumptions!B26+Assumptions!B27*3)</f>
        <v/>
      </c>
      <c r="AR10" s="156">
        <f>AR6*(Assumptions!B26+Assumptions!B27*3)</f>
        <v/>
      </c>
      <c r="AS10" s="156">
        <f>AS6*(Assumptions!B26+Assumptions!B27*3)</f>
        <v/>
      </c>
      <c r="AT10" s="156">
        <f>AT6*(Assumptions!B26+Assumptions!B27*3)</f>
        <v/>
      </c>
      <c r="AU10" s="156">
        <f>AU6*(Assumptions!B26+Assumptions!B27*3)</f>
        <v/>
      </c>
      <c r="AV10" s="156">
        <f>AV6*(Assumptions!B26+Assumptions!B27*3)</f>
        <v/>
      </c>
      <c r="AW10" s="156">
        <f>AW6*(Assumptions!B26+Assumptions!B27*3)</f>
        <v/>
      </c>
      <c r="AX10" s="156">
        <f>AX6*(Assumptions!B26+Assumptions!B27*3)</f>
        <v/>
      </c>
      <c r="AY10" s="156">
        <f>AY6*(Assumptions!B26+Assumptions!B27*4)</f>
        <v/>
      </c>
      <c r="AZ10" s="156">
        <f>AZ6*(Assumptions!B26+Assumptions!B27*4)</f>
        <v/>
      </c>
      <c r="BA10" s="156">
        <f>BA6*(Assumptions!B26+Assumptions!B27*4)</f>
        <v/>
      </c>
      <c r="BB10" s="156">
        <f>BB6*(Assumptions!B26+Assumptions!B27*4)</f>
        <v/>
      </c>
      <c r="BC10" s="156">
        <f>BC6*(Assumptions!B26+Assumptions!B27*4)</f>
        <v/>
      </c>
      <c r="BD10" s="156">
        <f>BD6*(Assumptions!B26+Assumptions!B27*4)</f>
        <v/>
      </c>
      <c r="BE10" s="156">
        <f>BE6*(Assumptions!B26+Assumptions!B27*4)</f>
        <v/>
      </c>
      <c r="BF10" s="156">
        <f>BF6*(Assumptions!B26+Assumptions!B27*4)</f>
        <v/>
      </c>
      <c r="BG10" s="156">
        <f>BG6*(Assumptions!B26+Assumptions!B27*4)</f>
        <v/>
      </c>
      <c r="BH10" s="156">
        <f>BH6*(Assumptions!B26+Assumptions!B27*4)</f>
        <v/>
      </c>
      <c r="BI10" s="156">
        <f>BI6*(Assumptions!B26+Assumptions!B27*4)</f>
        <v/>
      </c>
      <c r="BJ10" s="156">
        <f>BJ6*(Assumptions!B26+Assumptions!B27*4)</f>
        <v/>
      </c>
      <c r="BL10" s="157">
        <f>C10+D10+E10+F10+G10+H10+I10+J10+K10+L10+M10+N10</f>
        <v/>
      </c>
      <c r="BM10" s="157">
        <f>O10+P10+Q10+R10+S10+T10+U10+V10+W10+X10+Y10+Z10</f>
        <v/>
      </c>
      <c r="BN10" s="157">
        <f>AA10+AB10+AC10+AD10+AE10+AF10+AG10+AH10+AI10+AJ10+AK10+AL10</f>
        <v/>
      </c>
      <c r="BO10" s="157">
        <f>AM10+AN10+AO10+AP10+AQ10+AR10+AS10+AT10+AU10+AV10+AW10+AX10</f>
        <v/>
      </c>
      <c r="BP10" s="157">
        <f>AY10+AZ10+BA10+BB10+BC10+BD10+BE10+BF10+BG10+BH10+BI10+BJ10</f>
        <v/>
      </c>
    </row>
    <row r="11" ht="15" customHeight="1" s="104">
      <c r="A11" s="215" t="inlineStr">
        <is>
          <t xml:space="preserve">    % of Revenue</t>
        </is>
      </c>
      <c r="C11" s="216">
        <f>IF(C6=0,0,C10/C6)</f>
        <v/>
      </c>
      <c r="D11" s="216">
        <f>IF(D6=0,0,D10/D6)</f>
        <v/>
      </c>
      <c r="E11" s="216">
        <f>IF(E6=0,0,E10/E6)</f>
        <v/>
      </c>
      <c r="F11" s="216">
        <f>IF(F6=0,0,F10/F6)</f>
        <v/>
      </c>
      <c r="G11" s="216">
        <f>IF(G6=0,0,G10/G6)</f>
        <v/>
      </c>
      <c r="H11" s="216">
        <f>IF(H6=0,0,H10/H6)</f>
        <v/>
      </c>
      <c r="I11" s="216">
        <f>IF(I6=0,0,I10/I6)</f>
        <v/>
      </c>
      <c r="J11" s="216">
        <f>IF(J6=0,0,J10/J6)</f>
        <v/>
      </c>
      <c r="K11" s="216">
        <f>IF(K6=0,0,K10/K6)</f>
        <v/>
      </c>
      <c r="L11" s="216">
        <f>IF(L6=0,0,L10/L6)</f>
        <v/>
      </c>
      <c r="M11" s="216">
        <f>IF(M6=0,0,M10/M6)</f>
        <v/>
      </c>
      <c r="N11" s="216">
        <f>IF(N6=0,0,N10/N6)</f>
        <v/>
      </c>
      <c r="O11" s="216">
        <f>IF(O6=0,0,O10/O6)</f>
        <v/>
      </c>
      <c r="P11" s="216">
        <f>IF(P6=0,0,P10/P6)</f>
        <v/>
      </c>
      <c r="Q11" s="216">
        <f>IF(Q6=0,0,Q10/Q6)</f>
        <v/>
      </c>
      <c r="R11" s="216">
        <f>IF(R6=0,0,R10/R6)</f>
        <v/>
      </c>
      <c r="S11" s="216">
        <f>IF(S6=0,0,S10/S6)</f>
        <v/>
      </c>
      <c r="T11" s="216">
        <f>IF(T6=0,0,T10/T6)</f>
        <v/>
      </c>
      <c r="U11" s="216">
        <f>IF(U6=0,0,U10/U6)</f>
        <v/>
      </c>
      <c r="V11" s="216">
        <f>IF(V6=0,0,V10/V6)</f>
        <v/>
      </c>
      <c r="W11" s="216">
        <f>IF(W6=0,0,W10/W6)</f>
        <v/>
      </c>
      <c r="X11" s="216">
        <f>IF(X6=0,0,X10/X6)</f>
        <v/>
      </c>
      <c r="Y11" s="216">
        <f>IF(Y6=0,0,Y10/Y6)</f>
        <v/>
      </c>
      <c r="Z11" s="216">
        <f>IF(Z6=0,0,Z10/Z6)</f>
        <v/>
      </c>
      <c r="AA11" s="216">
        <f>IF(AA6=0,0,AA10/AA6)</f>
        <v/>
      </c>
      <c r="AB11" s="216">
        <f>IF(AB6=0,0,AB10/AB6)</f>
        <v/>
      </c>
      <c r="AC11" s="216">
        <f>IF(AC6=0,0,AC10/AC6)</f>
        <v/>
      </c>
      <c r="AD11" s="216">
        <f>IF(AD6=0,0,AD10/AD6)</f>
        <v/>
      </c>
      <c r="AE11" s="216">
        <f>IF(AE6=0,0,AE10/AE6)</f>
        <v/>
      </c>
      <c r="AF11" s="216">
        <f>IF(AF6=0,0,AF10/AF6)</f>
        <v/>
      </c>
      <c r="AG11" s="216">
        <f>IF(AG6=0,0,AG10/AG6)</f>
        <v/>
      </c>
      <c r="AH11" s="216">
        <f>IF(AH6=0,0,AH10/AH6)</f>
        <v/>
      </c>
      <c r="AI11" s="216">
        <f>IF(AI6=0,0,AI10/AI6)</f>
        <v/>
      </c>
      <c r="AJ11" s="216">
        <f>IF(AJ6=0,0,AJ10/AJ6)</f>
        <v/>
      </c>
      <c r="AK11" s="216">
        <f>IF(AK6=0,0,AK10/AK6)</f>
        <v/>
      </c>
      <c r="AL11" s="216">
        <f>IF(AL6=0,0,AL10/AL6)</f>
        <v/>
      </c>
      <c r="AM11" s="216">
        <f>IF(AM6=0,0,AM10/AM6)</f>
        <v/>
      </c>
      <c r="AN11" s="216">
        <f>IF(AN6=0,0,AN10/AN6)</f>
        <v/>
      </c>
      <c r="AO11" s="216">
        <f>IF(AO6=0,0,AO10/AO6)</f>
        <v/>
      </c>
      <c r="AP11" s="216">
        <f>IF(AP6=0,0,AP10/AP6)</f>
        <v/>
      </c>
      <c r="AQ11" s="216">
        <f>IF(AQ6=0,0,AQ10/AQ6)</f>
        <v/>
      </c>
      <c r="AR11" s="216">
        <f>IF(AR6=0,0,AR10/AR6)</f>
        <v/>
      </c>
      <c r="AS11" s="216">
        <f>IF(AS6=0,0,AS10/AS6)</f>
        <v/>
      </c>
      <c r="AT11" s="216">
        <f>IF(AT6=0,0,AT10/AT6)</f>
        <v/>
      </c>
      <c r="AU11" s="216">
        <f>IF(AU6=0,0,AU10/AU6)</f>
        <v/>
      </c>
      <c r="AV11" s="216">
        <f>IF(AV6=0,0,AV10/AV6)</f>
        <v/>
      </c>
      <c r="AW11" s="216">
        <f>IF(AW6=0,0,AW10/AW6)</f>
        <v/>
      </c>
      <c r="AX11" s="216">
        <f>IF(AX6=0,0,AX10/AX6)</f>
        <v/>
      </c>
      <c r="AY11" s="216">
        <f>IF(AY6=0,0,AY10/AY6)</f>
        <v/>
      </c>
      <c r="AZ11" s="216">
        <f>IF(AZ6=0,0,AZ10/AZ6)</f>
        <v/>
      </c>
      <c r="BA11" s="216">
        <f>IF(BA6=0,0,BA10/BA6)</f>
        <v/>
      </c>
      <c r="BB11" s="216">
        <f>IF(BB6=0,0,BB10/BB6)</f>
        <v/>
      </c>
      <c r="BC11" s="216">
        <f>IF(BC6=0,0,BC10/BC6)</f>
        <v/>
      </c>
      <c r="BD11" s="216">
        <f>IF(BD6=0,0,BD10/BD6)</f>
        <v/>
      </c>
      <c r="BE11" s="216">
        <f>IF(BE6=0,0,BE10/BE6)</f>
        <v/>
      </c>
      <c r="BF11" s="216">
        <f>IF(BF6=0,0,BF10/BF6)</f>
        <v/>
      </c>
      <c r="BG11" s="216">
        <f>IF(BG6=0,0,BG10/BG6)</f>
        <v/>
      </c>
      <c r="BH11" s="216">
        <f>IF(BH6=0,0,BH10/BH6)</f>
        <v/>
      </c>
      <c r="BI11" s="216">
        <f>IF(BI6=0,0,BI10/BI6)</f>
        <v/>
      </c>
      <c r="BJ11" s="216">
        <f>IF(BJ6=0,0,BJ10/BJ6)</f>
        <v/>
      </c>
      <c r="BL11" s="217">
        <f>IF((C6+D6+E6+F6+G6+H6+I6+J6+K6+L6+M6+N6)=0,0,(C10+D10+E10+F10+G10+H10+I10+J10+K10+L10+M10+N10)/(C6+D6+E6+F6+G6+H6+I6+J6+K6+L6+M6+N6))</f>
        <v/>
      </c>
      <c r="BM11" s="217">
        <f>IF((O6+P6+Q6+R6+S6+T6+U6+V6+W6+X6+Y6+Z6)=0,0,(O10+P10+Q10+R10+S10+T10+U10+V10+W10+X10+Y10+Z10)/(O6+P6+Q6+R6+S6+T6+U6+V6+W6+X6+Y6+Z6))</f>
        <v/>
      </c>
      <c r="BN11" s="217">
        <f>IF((AA6+AB6+AC6+AD6+AE6+AF6+AG6+AH6+AI6+AJ6+AK6+AL6)=0,0,(AA10+AB10+AC10+AD10+AE10+AF10+AG10+AH10+AI10+AJ10+AK10+AL10)/(AA6+AB6+AC6+AD6+AE6+AF6+AG6+AH6+AI6+AJ6+AK6+AL6))</f>
        <v/>
      </c>
      <c r="BO11" s="217">
        <f>IF((AM6+AN6+AO6+AP6+AQ6+AR6+AS6+AT6+AU6+AV6+AW6+AX6)=0,0,(AM10+AN10+AO10+AP10+AQ10+AR10+AS10+AT10+AU10+AV10+AW10+AX10)/(AM6+AN6+AO6+AP6+AQ6+AR6+AS6+AT6+AU6+AV6+AW6+AX6))</f>
        <v/>
      </c>
      <c r="BP11" s="217">
        <f>IF((AY6+AZ6+BA6+BB6+BC6+BD6+BE6+BF6+BG6+BH6+BI6+BJ6)=0,0,(AY10+AZ10+BA10+BB10+BC10+BD10+BE10+BF10+BG10+BH10+BI10+BJ10)/(AY6+AZ6+BA6+BB6+BC6+BD6+BE6+BF6+BG6+BH6+BI6+BJ6))</f>
        <v/>
      </c>
    </row>
    <row r="12" ht="15" customHeight="1" s="104">
      <c r="A12" s="107" t="inlineStr">
        <is>
          <t>Occupancy &amp; Facilities</t>
        </is>
      </c>
      <c r="C12" s="156">
        <f>C6*(Assumptions!B28+Assumptions!B29*0)</f>
        <v/>
      </c>
      <c r="D12" s="156">
        <f>D6*(Assumptions!B28+Assumptions!B29*0)</f>
        <v/>
      </c>
      <c r="E12" s="156">
        <f>E6*(Assumptions!B28+Assumptions!B29*0)</f>
        <v/>
      </c>
      <c r="F12" s="156">
        <f>F6*(Assumptions!B28+Assumptions!B29*0)</f>
        <v/>
      </c>
      <c r="G12" s="156">
        <f>G6*(Assumptions!B28+Assumptions!B29*0)</f>
        <v/>
      </c>
      <c r="H12" s="156">
        <f>H6*(Assumptions!B28+Assumptions!B29*0)</f>
        <v/>
      </c>
      <c r="I12" s="156">
        <f>I6*(Assumptions!B28+Assumptions!B29*0)</f>
        <v/>
      </c>
      <c r="J12" s="156">
        <f>J6*(Assumptions!B28+Assumptions!B29*0)</f>
        <v/>
      </c>
      <c r="K12" s="156">
        <f>K6*(Assumptions!B28+Assumptions!B29*0)</f>
        <v/>
      </c>
      <c r="L12" s="156">
        <f>L6*(Assumptions!B28+Assumptions!B29*0)</f>
        <v/>
      </c>
      <c r="M12" s="156">
        <f>M6*(Assumptions!B28+Assumptions!B29*0)</f>
        <v/>
      </c>
      <c r="N12" s="156">
        <f>N6*(Assumptions!B28+Assumptions!B29*0)</f>
        <v/>
      </c>
      <c r="O12" s="156">
        <f>O6*(Assumptions!B28+Assumptions!B29*1)</f>
        <v/>
      </c>
      <c r="P12" s="156">
        <f>P6*(Assumptions!B28+Assumptions!B29*1)</f>
        <v/>
      </c>
      <c r="Q12" s="156">
        <f>Q6*(Assumptions!B28+Assumptions!B29*1)</f>
        <v/>
      </c>
      <c r="R12" s="156">
        <f>R6*(Assumptions!B28+Assumptions!B29*1)</f>
        <v/>
      </c>
      <c r="S12" s="156">
        <f>S6*(Assumptions!B28+Assumptions!B29*1)</f>
        <v/>
      </c>
      <c r="T12" s="156">
        <f>T6*(Assumptions!B28+Assumptions!B29*1)</f>
        <v/>
      </c>
      <c r="U12" s="156">
        <f>U6*(Assumptions!B28+Assumptions!B29*1)</f>
        <v/>
      </c>
      <c r="V12" s="156">
        <f>V6*(Assumptions!B28+Assumptions!B29*1)</f>
        <v/>
      </c>
      <c r="W12" s="156">
        <f>W6*(Assumptions!B28+Assumptions!B29*1)</f>
        <v/>
      </c>
      <c r="X12" s="156">
        <f>X6*(Assumptions!B28+Assumptions!B29*1)</f>
        <v/>
      </c>
      <c r="Y12" s="156">
        <f>Y6*(Assumptions!B28+Assumptions!B29*1)</f>
        <v/>
      </c>
      <c r="Z12" s="156">
        <f>Z6*(Assumptions!B28+Assumptions!B29*1)</f>
        <v/>
      </c>
      <c r="AA12" s="156">
        <f>AA6*(Assumptions!B28+Assumptions!B29*2)</f>
        <v/>
      </c>
      <c r="AB12" s="156">
        <f>AB6*(Assumptions!B28+Assumptions!B29*2)</f>
        <v/>
      </c>
      <c r="AC12" s="156">
        <f>AC6*(Assumptions!B28+Assumptions!B29*2)</f>
        <v/>
      </c>
      <c r="AD12" s="156">
        <f>AD6*(Assumptions!B28+Assumptions!B29*2)</f>
        <v/>
      </c>
      <c r="AE12" s="156">
        <f>AE6*(Assumptions!B28+Assumptions!B29*2)</f>
        <v/>
      </c>
      <c r="AF12" s="156">
        <f>AF6*(Assumptions!B28+Assumptions!B29*2)</f>
        <v/>
      </c>
      <c r="AG12" s="156">
        <f>AG6*(Assumptions!B28+Assumptions!B29*2)</f>
        <v/>
      </c>
      <c r="AH12" s="156">
        <f>AH6*(Assumptions!B28+Assumptions!B29*2)</f>
        <v/>
      </c>
      <c r="AI12" s="156">
        <f>AI6*(Assumptions!B28+Assumptions!B29*2)</f>
        <v/>
      </c>
      <c r="AJ12" s="156">
        <f>AJ6*(Assumptions!B28+Assumptions!B29*2)</f>
        <v/>
      </c>
      <c r="AK12" s="156">
        <f>AK6*(Assumptions!B28+Assumptions!B29*2)</f>
        <v/>
      </c>
      <c r="AL12" s="156">
        <f>AL6*(Assumptions!B28+Assumptions!B29*2)</f>
        <v/>
      </c>
      <c r="AM12" s="156">
        <f>AM6*(Assumptions!B28+Assumptions!B29*3)</f>
        <v/>
      </c>
      <c r="AN12" s="156">
        <f>AN6*(Assumptions!B28+Assumptions!B29*3)</f>
        <v/>
      </c>
      <c r="AO12" s="156">
        <f>AO6*(Assumptions!B28+Assumptions!B29*3)</f>
        <v/>
      </c>
      <c r="AP12" s="156">
        <f>AP6*(Assumptions!B28+Assumptions!B29*3)</f>
        <v/>
      </c>
      <c r="AQ12" s="156">
        <f>AQ6*(Assumptions!B28+Assumptions!B29*3)</f>
        <v/>
      </c>
      <c r="AR12" s="156">
        <f>AR6*(Assumptions!B28+Assumptions!B29*3)</f>
        <v/>
      </c>
      <c r="AS12" s="156">
        <f>AS6*(Assumptions!B28+Assumptions!B29*3)</f>
        <v/>
      </c>
      <c r="AT12" s="156">
        <f>AT6*(Assumptions!B28+Assumptions!B29*3)</f>
        <v/>
      </c>
      <c r="AU12" s="156">
        <f>AU6*(Assumptions!B28+Assumptions!B29*3)</f>
        <v/>
      </c>
      <c r="AV12" s="156">
        <f>AV6*(Assumptions!B28+Assumptions!B29*3)</f>
        <v/>
      </c>
      <c r="AW12" s="156">
        <f>AW6*(Assumptions!B28+Assumptions!B29*3)</f>
        <v/>
      </c>
      <c r="AX12" s="156">
        <f>AX6*(Assumptions!B28+Assumptions!B29*3)</f>
        <v/>
      </c>
      <c r="AY12" s="156">
        <f>AY6*(Assumptions!B28+Assumptions!B29*4)</f>
        <v/>
      </c>
      <c r="AZ12" s="156">
        <f>AZ6*(Assumptions!B28+Assumptions!B29*4)</f>
        <v/>
      </c>
      <c r="BA12" s="156">
        <f>BA6*(Assumptions!B28+Assumptions!B29*4)</f>
        <v/>
      </c>
      <c r="BB12" s="156">
        <f>BB6*(Assumptions!B28+Assumptions!B29*4)</f>
        <v/>
      </c>
      <c r="BC12" s="156">
        <f>BC6*(Assumptions!B28+Assumptions!B29*4)</f>
        <v/>
      </c>
      <c r="BD12" s="156">
        <f>BD6*(Assumptions!B28+Assumptions!B29*4)</f>
        <v/>
      </c>
      <c r="BE12" s="156">
        <f>BE6*(Assumptions!B28+Assumptions!B29*4)</f>
        <v/>
      </c>
      <c r="BF12" s="156">
        <f>BF6*(Assumptions!B28+Assumptions!B29*4)</f>
        <v/>
      </c>
      <c r="BG12" s="156">
        <f>BG6*(Assumptions!B28+Assumptions!B29*4)</f>
        <v/>
      </c>
      <c r="BH12" s="156">
        <f>BH6*(Assumptions!B28+Assumptions!B29*4)</f>
        <v/>
      </c>
      <c r="BI12" s="156">
        <f>BI6*(Assumptions!B28+Assumptions!B29*4)</f>
        <v/>
      </c>
      <c r="BJ12" s="156">
        <f>BJ6*(Assumptions!B28+Assumptions!B29*4)</f>
        <v/>
      </c>
      <c r="BL12" s="157">
        <f>C12+D12+E12+F12+G12+H12+I12+J12+K12+L12+M12+N12</f>
        <v/>
      </c>
      <c r="BM12" s="157">
        <f>O12+P12+Q12+R12+S12+T12+U12+V12+W12+X12+Y12+Z12</f>
        <v/>
      </c>
      <c r="BN12" s="157">
        <f>AA12+AB12+AC12+AD12+AE12+AF12+AG12+AH12+AI12+AJ12+AK12+AL12</f>
        <v/>
      </c>
      <c r="BO12" s="157">
        <f>AM12+AN12+AO12+AP12+AQ12+AR12+AS12+AT12+AU12+AV12+AW12+AX12</f>
        <v/>
      </c>
      <c r="BP12" s="157">
        <f>AY12+AZ12+BA12+BB12+BC12+BD12+BE12+BF12+BG12+BH12+BI12+BJ12</f>
        <v/>
      </c>
    </row>
    <row r="13" ht="15" customHeight="1" s="104">
      <c r="A13" s="215" t="inlineStr">
        <is>
          <t xml:space="preserve">    % of Revenue</t>
        </is>
      </c>
      <c r="C13" s="216">
        <f>IF(C6=0,0,C12/C6)</f>
        <v/>
      </c>
      <c r="D13" s="216">
        <f>IF(D6=0,0,D12/D6)</f>
        <v/>
      </c>
      <c r="E13" s="216">
        <f>IF(E6=0,0,E12/E6)</f>
        <v/>
      </c>
      <c r="F13" s="216">
        <f>IF(F6=0,0,F12/F6)</f>
        <v/>
      </c>
      <c r="G13" s="216">
        <f>IF(G6=0,0,G12/G6)</f>
        <v/>
      </c>
      <c r="H13" s="216">
        <f>IF(H6=0,0,H12/H6)</f>
        <v/>
      </c>
      <c r="I13" s="216">
        <f>IF(I6=0,0,I12/I6)</f>
        <v/>
      </c>
      <c r="J13" s="216">
        <f>IF(J6=0,0,J12/J6)</f>
        <v/>
      </c>
      <c r="K13" s="216">
        <f>IF(K6=0,0,K12/K6)</f>
        <v/>
      </c>
      <c r="L13" s="216">
        <f>IF(L6=0,0,L12/L6)</f>
        <v/>
      </c>
      <c r="M13" s="216">
        <f>IF(M6=0,0,M12/M6)</f>
        <v/>
      </c>
      <c r="N13" s="216">
        <f>IF(N6=0,0,N12/N6)</f>
        <v/>
      </c>
      <c r="O13" s="216">
        <f>IF(O6=0,0,O12/O6)</f>
        <v/>
      </c>
      <c r="P13" s="216">
        <f>IF(P6=0,0,P12/P6)</f>
        <v/>
      </c>
      <c r="Q13" s="216">
        <f>IF(Q6=0,0,Q12/Q6)</f>
        <v/>
      </c>
      <c r="R13" s="216">
        <f>IF(R6=0,0,R12/R6)</f>
        <v/>
      </c>
      <c r="S13" s="216">
        <f>IF(S6=0,0,S12/S6)</f>
        <v/>
      </c>
      <c r="T13" s="216">
        <f>IF(T6=0,0,T12/T6)</f>
        <v/>
      </c>
      <c r="U13" s="216">
        <f>IF(U6=0,0,U12/U6)</f>
        <v/>
      </c>
      <c r="V13" s="216">
        <f>IF(V6=0,0,V12/V6)</f>
        <v/>
      </c>
      <c r="W13" s="216">
        <f>IF(W6=0,0,W12/W6)</f>
        <v/>
      </c>
      <c r="X13" s="216">
        <f>IF(X6=0,0,X12/X6)</f>
        <v/>
      </c>
      <c r="Y13" s="216">
        <f>IF(Y6=0,0,Y12/Y6)</f>
        <v/>
      </c>
      <c r="Z13" s="216">
        <f>IF(Z6=0,0,Z12/Z6)</f>
        <v/>
      </c>
      <c r="AA13" s="216">
        <f>IF(AA6=0,0,AA12/AA6)</f>
        <v/>
      </c>
      <c r="AB13" s="216">
        <f>IF(AB6=0,0,AB12/AB6)</f>
        <v/>
      </c>
      <c r="AC13" s="216">
        <f>IF(AC6=0,0,AC12/AC6)</f>
        <v/>
      </c>
      <c r="AD13" s="216">
        <f>IF(AD6=0,0,AD12/AD6)</f>
        <v/>
      </c>
      <c r="AE13" s="216">
        <f>IF(AE6=0,0,AE12/AE6)</f>
        <v/>
      </c>
      <c r="AF13" s="216">
        <f>IF(AF6=0,0,AF12/AF6)</f>
        <v/>
      </c>
      <c r="AG13" s="216">
        <f>IF(AG6=0,0,AG12/AG6)</f>
        <v/>
      </c>
      <c r="AH13" s="216">
        <f>IF(AH6=0,0,AH12/AH6)</f>
        <v/>
      </c>
      <c r="AI13" s="216">
        <f>IF(AI6=0,0,AI12/AI6)</f>
        <v/>
      </c>
      <c r="AJ13" s="216">
        <f>IF(AJ6=0,0,AJ12/AJ6)</f>
        <v/>
      </c>
      <c r="AK13" s="216">
        <f>IF(AK6=0,0,AK12/AK6)</f>
        <v/>
      </c>
      <c r="AL13" s="216">
        <f>IF(AL6=0,0,AL12/AL6)</f>
        <v/>
      </c>
      <c r="AM13" s="216">
        <f>IF(AM6=0,0,AM12/AM6)</f>
        <v/>
      </c>
      <c r="AN13" s="216">
        <f>IF(AN6=0,0,AN12/AN6)</f>
        <v/>
      </c>
      <c r="AO13" s="216">
        <f>IF(AO6=0,0,AO12/AO6)</f>
        <v/>
      </c>
      <c r="AP13" s="216">
        <f>IF(AP6=0,0,AP12/AP6)</f>
        <v/>
      </c>
      <c r="AQ13" s="216">
        <f>IF(AQ6=0,0,AQ12/AQ6)</f>
        <v/>
      </c>
      <c r="AR13" s="216">
        <f>IF(AR6=0,0,AR12/AR6)</f>
        <v/>
      </c>
      <c r="AS13" s="216">
        <f>IF(AS6=0,0,AS12/AS6)</f>
        <v/>
      </c>
      <c r="AT13" s="216">
        <f>IF(AT6=0,0,AT12/AT6)</f>
        <v/>
      </c>
      <c r="AU13" s="216">
        <f>IF(AU6=0,0,AU12/AU6)</f>
        <v/>
      </c>
      <c r="AV13" s="216">
        <f>IF(AV6=0,0,AV12/AV6)</f>
        <v/>
      </c>
      <c r="AW13" s="216">
        <f>IF(AW6=0,0,AW12/AW6)</f>
        <v/>
      </c>
      <c r="AX13" s="216">
        <f>IF(AX6=0,0,AX12/AX6)</f>
        <v/>
      </c>
      <c r="AY13" s="216">
        <f>IF(AY6=0,0,AY12/AY6)</f>
        <v/>
      </c>
      <c r="AZ13" s="216">
        <f>IF(AZ6=0,0,AZ12/AZ6)</f>
        <v/>
      </c>
      <c r="BA13" s="216">
        <f>IF(BA6=0,0,BA12/BA6)</f>
        <v/>
      </c>
      <c r="BB13" s="216">
        <f>IF(BB6=0,0,BB12/BB6)</f>
        <v/>
      </c>
      <c r="BC13" s="216">
        <f>IF(BC6=0,0,BC12/BC6)</f>
        <v/>
      </c>
      <c r="BD13" s="216">
        <f>IF(BD6=0,0,BD12/BD6)</f>
        <v/>
      </c>
      <c r="BE13" s="216">
        <f>IF(BE6=0,0,BE12/BE6)</f>
        <v/>
      </c>
      <c r="BF13" s="216">
        <f>IF(BF6=0,0,BF12/BF6)</f>
        <v/>
      </c>
      <c r="BG13" s="216">
        <f>IF(BG6=0,0,BG12/BG6)</f>
        <v/>
      </c>
      <c r="BH13" s="216">
        <f>IF(BH6=0,0,BH12/BH6)</f>
        <v/>
      </c>
      <c r="BI13" s="216">
        <f>IF(BI6=0,0,BI12/BI6)</f>
        <v/>
      </c>
      <c r="BJ13" s="216">
        <f>IF(BJ6=0,0,BJ12/BJ6)</f>
        <v/>
      </c>
      <c r="BL13" s="217">
        <f>IF((C6+D6+E6+F6+G6+H6+I6+J6+K6+L6+M6+N6)=0,0,(C12+D12+E12+F12+G12+H12+I12+J12+K12+L12+M12+N12)/(C6+D6+E6+F6+G6+H6+I6+J6+K6+L6+M6+N6))</f>
        <v/>
      </c>
      <c r="BM13" s="217">
        <f>IF((O6+P6+Q6+R6+S6+T6+U6+V6+W6+X6+Y6+Z6)=0,0,(O12+P12+Q12+R12+S12+T12+U12+V12+W12+X12+Y12+Z12)/(O6+P6+Q6+R6+S6+T6+U6+V6+W6+X6+Y6+Z6))</f>
        <v/>
      </c>
      <c r="BN13" s="217">
        <f>IF((AA6+AB6+AC6+AD6+AE6+AF6+AG6+AH6+AI6+AJ6+AK6+AL6)=0,0,(AA12+AB12+AC12+AD12+AE12+AF12+AG12+AH12+AI12+AJ12+AK12+AL12)/(AA6+AB6+AC6+AD6+AE6+AF6+AG6+AH6+AI6+AJ6+AK6+AL6))</f>
        <v/>
      </c>
      <c r="BO13" s="217">
        <f>IF((AM6+AN6+AO6+AP6+AQ6+AR6+AS6+AT6+AU6+AV6+AW6+AX6)=0,0,(AM12+AN12+AO12+AP12+AQ12+AR12+AS12+AT12+AU12+AV12+AW12+AX12)/(AM6+AN6+AO6+AP6+AQ6+AR6+AS6+AT6+AU6+AV6+AW6+AX6))</f>
        <v/>
      </c>
      <c r="BP13" s="217">
        <f>IF((AY6+AZ6+BA6+BB6+BC6+BD6+BE6+BF6+BG6+BH6+BI6+BJ6)=0,0,(AY12+AZ12+BA12+BB12+BC12+BD12+BE12+BF12+BG12+BH12+BI12+BJ12)/(AY6+AZ6+BA6+BB6+BC6+BD6+BE6+BF6+BG6+BH6+BI6+BJ6))</f>
        <v/>
      </c>
    </row>
    <row r="14" ht="15" customHeight="1" s="104">
      <c r="A14" s="107" t="inlineStr">
        <is>
          <t>Technology &amp; Software</t>
        </is>
      </c>
      <c r="C14" s="156">
        <f>C6*(Assumptions!B30+Assumptions!B31*0)</f>
        <v/>
      </c>
      <c r="D14" s="156">
        <f>D6*(Assumptions!B30+Assumptions!B31*0)</f>
        <v/>
      </c>
      <c r="E14" s="156">
        <f>E6*(Assumptions!B30+Assumptions!B31*0)</f>
        <v/>
      </c>
      <c r="F14" s="156">
        <f>F6*(Assumptions!B30+Assumptions!B31*0)</f>
        <v/>
      </c>
      <c r="G14" s="156">
        <f>G6*(Assumptions!B30+Assumptions!B31*0)</f>
        <v/>
      </c>
      <c r="H14" s="156">
        <f>H6*(Assumptions!B30+Assumptions!B31*0)</f>
        <v/>
      </c>
      <c r="I14" s="156">
        <f>I6*(Assumptions!B30+Assumptions!B31*0)</f>
        <v/>
      </c>
      <c r="J14" s="156">
        <f>J6*(Assumptions!B30+Assumptions!B31*0)</f>
        <v/>
      </c>
      <c r="K14" s="156">
        <f>K6*(Assumptions!B30+Assumptions!B31*0)</f>
        <v/>
      </c>
      <c r="L14" s="156">
        <f>L6*(Assumptions!B30+Assumptions!B31*0)</f>
        <v/>
      </c>
      <c r="M14" s="156">
        <f>M6*(Assumptions!B30+Assumptions!B31*0)</f>
        <v/>
      </c>
      <c r="N14" s="156">
        <f>N6*(Assumptions!B30+Assumptions!B31*0)</f>
        <v/>
      </c>
      <c r="O14" s="156">
        <f>O6*(Assumptions!B30+Assumptions!B31*1)</f>
        <v/>
      </c>
      <c r="P14" s="156">
        <f>P6*(Assumptions!B30+Assumptions!B31*1)</f>
        <v/>
      </c>
      <c r="Q14" s="156">
        <f>Q6*(Assumptions!B30+Assumptions!B31*1)</f>
        <v/>
      </c>
      <c r="R14" s="156">
        <f>R6*(Assumptions!B30+Assumptions!B31*1)</f>
        <v/>
      </c>
      <c r="S14" s="156">
        <f>S6*(Assumptions!B30+Assumptions!B31*1)</f>
        <v/>
      </c>
      <c r="T14" s="156">
        <f>T6*(Assumptions!B30+Assumptions!B31*1)</f>
        <v/>
      </c>
      <c r="U14" s="156">
        <f>U6*(Assumptions!B30+Assumptions!B31*1)</f>
        <v/>
      </c>
      <c r="V14" s="156">
        <f>V6*(Assumptions!B30+Assumptions!B31*1)</f>
        <v/>
      </c>
      <c r="W14" s="156">
        <f>W6*(Assumptions!B30+Assumptions!B31*1)</f>
        <v/>
      </c>
      <c r="X14" s="156">
        <f>X6*(Assumptions!B30+Assumptions!B31*1)</f>
        <v/>
      </c>
      <c r="Y14" s="156">
        <f>Y6*(Assumptions!B30+Assumptions!B31*1)</f>
        <v/>
      </c>
      <c r="Z14" s="156">
        <f>Z6*(Assumptions!B30+Assumptions!B31*1)</f>
        <v/>
      </c>
      <c r="AA14" s="156">
        <f>AA6*(Assumptions!B30+Assumptions!B31*2)</f>
        <v/>
      </c>
      <c r="AB14" s="156">
        <f>AB6*(Assumptions!B30+Assumptions!B31*2)</f>
        <v/>
      </c>
      <c r="AC14" s="156">
        <f>AC6*(Assumptions!B30+Assumptions!B31*2)</f>
        <v/>
      </c>
      <c r="AD14" s="156">
        <f>AD6*(Assumptions!B30+Assumptions!B31*2)</f>
        <v/>
      </c>
      <c r="AE14" s="156">
        <f>AE6*(Assumptions!B30+Assumptions!B31*2)</f>
        <v/>
      </c>
      <c r="AF14" s="156">
        <f>AF6*(Assumptions!B30+Assumptions!B31*2)</f>
        <v/>
      </c>
      <c r="AG14" s="156">
        <f>AG6*(Assumptions!B30+Assumptions!B31*2)</f>
        <v/>
      </c>
      <c r="AH14" s="156">
        <f>AH6*(Assumptions!B30+Assumptions!B31*2)</f>
        <v/>
      </c>
      <c r="AI14" s="156">
        <f>AI6*(Assumptions!B30+Assumptions!B31*2)</f>
        <v/>
      </c>
      <c r="AJ14" s="156">
        <f>AJ6*(Assumptions!B30+Assumptions!B31*2)</f>
        <v/>
      </c>
      <c r="AK14" s="156">
        <f>AK6*(Assumptions!B30+Assumptions!B31*2)</f>
        <v/>
      </c>
      <c r="AL14" s="156">
        <f>AL6*(Assumptions!B30+Assumptions!B31*2)</f>
        <v/>
      </c>
      <c r="AM14" s="156">
        <f>AM6*(Assumptions!B30+Assumptions!B31*3)</f>
        <v/>
      </c>
      <c r="AN14" s="156">
        <f>AN6*(Assumptions!B30+Assumptions!B31*3)</f>
        <v/>
      </c>
      <c r="AO14" s="156">
        <f>AO6*(Assumptions!B30+Assumptions!B31*3)</f>
        <v/>
      </c>
      <c r="AP14" s="156">
        <f>AP6*(Assumptions!B30+Assumptions!B31*3)</f>
        <v/>
      </c>
      <c r="AQ14" s="156">
        <f>AQ6*(Assumptions!B30+Assumptions!B31*3)</f>
        <v/>
      </c>
      <c r="AR14" s="156">
        <f>AR6*(Assumptions!B30+Assumptions!B31*3)</f>
        <v/>
      </c>
      <c r="AS14" s="156">
        <f>AS6*(Assumptions!B30+Assumptions!B31*3)</f>
        <v/>
      </c>
      <c r="AT14" s="156">
        <f>AT6*(Assumptions!B30+Assumptions!B31*3)</f>
        <v/>
      </c>
      <c r="AU14" s="156">
        <f>AU6*(Assumptions!B30+Assumptions!B31*3)</f>
        <v/>
      </c>
      <c r="AV14" s="156">
        <f>AV6*(Assumptions!B30+Assumptions!B31*3)</f>
        <v/>
      </c>
      <c r="AW14" s="156">
        <f>AW6*(Assumptions!B30+Assumptions!B31*3)</f>
        <v/>
      </c>
      <c r="AX14" s="156">
        <f>AX6*(Assumptions!B30+Assumptions!B31*3)</f>
        <v/>
      </c>
      <c r="AY14" s="156">
        <f>AY6*(Assumptions!B30+Assumptions!B31*4)</f>
        <v/>
      </c>
      <c r="AZ14" s="156">
        <f>AZ6*(Assumptions!B30+Assumptions!B31*4)</f>
        <v/>
      </c>
      <c r="BA14" s="156">
        <f>BA6*(Assumptions!B30+Assumptions!B31*4)</f>
        <v/>
      </c>
      <c r="BB14" s="156">
        <f>BB6*(Assumptions!B30+Assumptions!B31*4)</f>
        <v/>
      </c>
      <c r="BC14" s="156">
        <f>BC6*(Assumptions!B30+Assumptions!B31*4)</f>
        <v/>
      </c>
      <c r="BD14" s="156">
        <f>BD6*(Assumptions!B30+Assumptions!B31*4)</f>
        <v/>
      </c>
      <c r="BE14" s="156">
        <f>BE6*(Assumptions!B30+Assumptions!B31*4)</f>
        <v/>
      </c>
      <c r="BF14" s="156">
        <f>BF6*(Assumptions!B30+Assumptions!B31*4)</f>
        <v/>
      </c>
      <c r="BG14" s="156">
        <f>BG6*(Assumptions!B30+Assumptions!B31*4)</f>
        <v/>
      </c>
      <c r="BH14" s="156">
        <f>BH6*(Assumptions!B30+Assumptions!B31*4)</f>
        <v/>
      </c>
      <c r="BI14" s="156">
        <f>BI6*(Assumptions!B30+Assumptions!B31*4)</f>
        <v/>
      </c>
      <c r="BJ14" s="156">
        <f>BJ6*(Assumptions!B30+Assumptions!B31*4)</f>
        <v/>
      </c>
      <c r="BL14" s="157">
        <f>C14+D14+E14+F14+G14+H14+I14+J14+K14+L14+M14+N14</f>
        <v/>
      </c>
      <c r="BM14" s="157">
        <f>O14+P14+Q14+R14+S14+T14+U14+V14+W14+X14+Y14+Z14</f>
        <v/>
      </c>
      <c r="BN14" s="157">
        <f>AA14+AB14+AC14+AD14+AE14+AF14+AG14+AH14+AI14+AJ14+AK14+AL14</f>
        <v/>
      </c>
      <c r="BO14" s="157">
        <f>AM14+AN14+AO14+AP14+AQ14+AR14+AS14+AT14+AU14+AV14+AW14+AX14</f>
        <v/>
      </c>
      <c r="BP14" s="157">
        <f>AY14+AZ14+BA14+BB14+BC14+BD14+BE14+BF14+BG14+BH14+BI14+BJ14</f>
        <v/>
      </c>
    </row>
    <row r="15" ht="15" customHeight="1" s="104">
      <c r="A15" s="215" t="inlineStr">
        <is>
          <t xml:space="preserve">    % of Revenue</t>
        </is>
      </c>
      <c r="C15" s="216">
        <f>IF(C6=0,0,C14/C6)</f>
        <v/>
      </c>
      <c r="D15" s="216">
        <f>IF(D6=0,0,D14/D6)</f>
        <v/>
      </c>
      <c r="E15" s="216">
        <f>IF(E6=0,0,E14/E6)</f>
        <v/>
      </c>
      <c r="F15" s="216">
        <f>IF(F6=0,0,F14/F6)</f>
        <v/>
      </c>
      <c r="G15" s="216">
        <f>IF(G6=0,0,G14/G6)</f>
        <v/>
      </c>
      <c r="H15" s="216">
        <f>IF(H6=0,0,H14/H6)</f>
        <v/>
      </c>
      <c r="I15" s="216">
        <f>IF(I6=0,0,I14/I6)</f>
        <v/>
      </c>
      <c r="J15" s="216">
        <f>IF(J6=0,0,J14/J6)</f>
        <v/>
      </c>
      <c r="K15" s="216">
        <f>IF(K6=0,0,K14/K6)</f>
        <v/>
      </c>
      <c r="L15" s="216">
        <f>IF(L6=0,0,L14/L6)</f>
        <v/>
      </c>
      <c r="M15" s="216">
        <f>IF(M6=0,0,M14/M6)</f>
        <v/>
      </c>
      <c r="N15" s="216">
        <f>IF(N6=0,0,N14/N6)</f>
        <v/>
      </c>
      <c r="O15" s="216">
        <f>IF(O6=0,0,O14/O6)</f>
        <v/>
      </c>
      <c r="P15" s="216">
        <f>IF(P6=0,0,P14/P6)</f>
        <v/>
      </c>
      <c r="Q15" s="216">
        <f>IF(Q6=0,0,Q14/Q6)</f>
        <v/>
      </c>
      <c r="R15" s="216">
        <f>IF(R6=0,0,R14/R6)</f>
        <v/>
      </c>
      <c r="S15" s="216">
        <f>IF(S6=0,0,S14/S6)</f>
        <v/>
      </c>
      <c r="T15" s="216">
        <f>IF(T6=0,0,T14/T6)</f>
        <v/>
      </c>
      <c r="U15" s="216">
        <f>IF(U6=0,0,U14/U6)</f>
        <v/>
      </c>
      <c r="V15" s="216">
        <f>IF(V6=0,0,V14/V6)</f>
        <v/>
      </c>
      <c r="W15" s="216">
        <f>IF(W6=0,0,W14/W6)</f>
        <v/>
      </c>
      <c r="X15" s="216">
        <f>IF(X6=0,0,X14/X6)</f>
        <v/>
      </c>
      <c r="Y15" s="216">
        <f>IF(Y6=0,0,Y14/Y6)</f>
        <v/>
      </c>
      <c r="Z15" s="216">
        <f>IF(Z6=0,0,Z14/Z6)</f>
        <v/>
      </c>
      <c r="AA15" s="216">
        <f>IF(AA6=0,0,AA14/AA6)</f>
        <v/>
      </c>
      <c r="AB15" s="216">
        <f>IF(AB6=0,0,AB14/AB6)</f>
        <v/>
      </c>
      <c r="AC15" s="216">
        <f>IF(AC6=0,0,AC14/AC6)</f>
        <v/>
      </c>
      <c r="AD15" s="216">
        <f>IF(AD6=0,0,AD14/AD6)</f>
        <v/>
      </c>
      <c r="AE15" s="216">
        <f>IF(AE6=0,0,AE14/AE6)</f>
        <v/>
      </c>
      <c r="AF15" s="216">
        <f>IF(AF6=0,0,AF14/AF6)</f>
        <v/>
      </c>
      <c r="AG15" s="216">
        <f>IF(AG6=0,0,AG14/AG6)</f>
        <v/>
      </c>
      <c r="AH15" s="216">
        <f>IF(AH6=0,0,AH14/AH6)</f>
        <v/>
      </c>
      <c r="AI15" s="216">
        <f>IF(AI6=0,0,AI14/AI6)</f>
        <v/>
      </c>
      <c r="AJ15" s="216">
        <f>IF(AJ6=0,0,AJ14/AJ6)</f>
        <v/>
      </c>
      <c r="AK15" s="216">
        <f>IF(AK6=0,0,AK14/AK6)</f>
        <v/>
      </c>
      <c r="AL15" s="216">
        <f>IF(AL6=0,0,AL14/AL6)</f>
        <v/>
      </c>
      <c r="AM15" s="216">
        <f>IF(AM6=0,0,AM14/AM6)</f>
        <v/>
      </c>
      <c r="AN15" s="216">
        <f>IF(AN6=0,0,AN14/AN6)</f>
        <v/>
      </c>
      <c r="AO15" s="216">
        <f>IF(AO6=0,0,AO14/AO6)</f>
        <v/>
      </c>
      <c r="AP15" s="216">
        <f>IF(AP6=0,0,AP14/AP6)</f>
        <v/>
      </c>
      <c r="AQ15" s="216">
        <f>IF(AQ6=0,0,AQ14/AQ6)</f>
        <v/>
      </c>
      <c r="AR15" s="216">
        <f>IF(AR6=0,0,AR14/AR6)</f>
        <v/>
      </c>
      <c r="AS15" s="216">
        <f>IF(AS6=0,0,AS14/AS6)</f>
        <v/>
      </c>
      <c r="AT15" s="216">
        <f>IF(AT6=0,0,AT14/AT6)</f>
        <v/>
      </c>
      <c r="AU15" s="216">
        <f>IF(AU6=0,0,AU14/AU6)</f>
        <v/>
      </c>
      <c r="AV15" s="216">
        <f>IF(AV6=0,0,AV14/AV6)</f>
        <v/>
      </c>
      <c r="AW15" s="216">
        <f>IF(AW6=0,0,AW14/AW6)</f>
        <v/>
      </c>
      <c r="AX15" s="216">
        <f>IF(AX6=0,0,AX14/AX6)</f>
        <v/>
      </c>
      <c r="AY15" s="216">
        <f>IF(AY6=0,0,AY14/AY6)</f>
        <v/>
      </c>
      <c r="AZ15" s="216">
        <f>IF(AZ6=0,0,AZ14/AZ6)</f>
        <v/>
      </c>
      <c r="BA15" s="216">
        <f>IF(BA6=0,0,BA14/BA6)</f>
        <v/>
      </c>
      <c r="BB15" s="216">
        <f>IF(BB6=0,0,BB14/BB6)</f>
        <v/>
      </c>
      <c r="BC15" s="216">
        <f>IF(BC6=0,0,BC14/BC6)</f>
        <v/>
      </c>
      <c r="BD15" s="216">
        <f>IF(BD6=0,0,BD14/BD6)</f>
        <v/>
      </c>
      <c r="BE15" s="216">
        <f>IF(BE6=0,0,BE14/BE6)</f>
        <v/>
      </c>
      <c r="BF15" s="216">
        <f>IF(BF6=0,0,BF14/BF6)</f>
        <v/>
      </c>
      <c r="BG15" s="216">
        <f>IF(BG6=0,0,BG14/BG6)</f>
        <v/>
      </c>
      <c r="BH15" s="216">
        <f>IF(BH6=0,0,BH14/BH6)</f>
        <v/>
      </c>
      <c r="BI15" s="216">
        <f>IF(BI6=0,0,BI14/BI6)</f>
        <v/>
      </c>
      <c r="BJ15" s="216">
        <f>IF(BJ6=0,0,BJ14/BJ6)</f>
        <v/>
      </c>
      <c r="BL15" s="217">
        <f>IF((C6+D6+E6+F6+G6+H6+I6+J6+K6+L6+M6+N6)=0,0,(C14+D14+E14+F14+G14+H14+I14+J14+K14+L14+M14+N14)/(C6+D6+E6+F6+G6+H6+I6+J6+K6+L6+M6+N6))</f>
        <v/>
      </c>
      <c r="BM15" s="217">
        <f>IF((O6+P6+Q6+R6+S6+T6+U6+V6+W6+X6+Y6+Z6)=0,0,(O14+P14+Q14+R14+S14+T14+U14+V14+W14+X14+Y14+Z14)/(O6+P6+Q6+R6+S6+T6+U6+V6+W6+X6+Y6+Z6))</f>
        <v/>
      </c>
      <c r="BN15" s="217">
        <f>IF((AA6+AB6+AC6+AD6+AE6+AF6+AG6+AH6+AI6+AJ6+AK6+AL6)=0,0,(AA14+AB14+AC14+AD14+AE14+AF14+AG14+AH14+AI14+AJ14+AK14+AL14)/(AA6+AB6+AC6+AD6+AE6+AF6+AG6+AH6+AI6+AJ6+AK6+AL6))</f>
        <v/>
      </c>
      <c r="BO15" s="217">
        <f>IF((AM6+AN6+AO6+AP6+AQ6+AR6+AS6+AT6+AU6+AV6+AW6+AX6)=0,0,(AM14+AN14+AO14+AP14+AQ14+AR14+AS14+AT14+AU14+AV14+AW14+AX14)/(AM6+AN6+AO6+AP6+AQ6+AR6+AS6+AT6+AU6+AV6+AW6+AX6))</f>
        <v/>
      </c>
      <c r="BP15" s="217">
        <f>IF((AY6+AZ6+BA6+BB6+BC6+BD6+BE6+BF6+BG6+BH6+BI6+BJ6)=0,0,(AY14+AZ14+BA14+BB14+BC14+BD14+BE14+BF14+BG14+BH14+BI14+BJ14)/(AY6+AZ6+BA6+BB6+BC6+BD6+BE6+BF6+BG6+BH6+BI6+BJ6))</f>
        <v/>
      </c>
    </row>
    <row r="16" ht="15" customHeight="1" s="104">
      <c r="A16" s="107" t="inlineStr">
        <is>
          <t>Insurance</t>
        </is>
      </c>
      <c r="C16" s="156">
        <f>C6*(Assumptions!B32+Assumptions!B33*0)</f>
        <v/>
      </c>
      <c r="D16" s="156">
        <f>D6*(Assumptions!B32+Assumptions!B33*0)</f>
        <v/>
      </c>
      <c r="E16" s="156">
        <f>E6*(Assumptions!B32+Assumptions!B33*0)</f>
        <v/>
      </c>
      <c r="F16" s="156">
        <f>F6*(Assumptions!B32+Assumptions!B33*0)</f>
        <v/>
      </c>
      <c r="G16" s="156">
        <f>G6*(Assumptions!B32+Assumptions!B33*0)</f>
        <v/>
      </c>
      <c r="H16" s="156">
        <f>H6*(Assumptions!B32+Assumptions!B33*0)</f>
        <v/>
      </c>
      <c r="I16" s="156">
        <f>I6*(Assumptions!B32+Assumptions!B33*0)</f>
        <v/>
      </c>
      <c r="J16" s="156">
        <f>J6*(Assumptions!B32+Assumptions!B33*0)</f>
        <v/>
      </c>
      <c r="K16" s="156">
        <f>K6*(Assumptions!B32+Assumptions!B33*0)</f>
        <v/>
      </c>
      <c r="L16" s="156">
        <f>L6*(Assumptions!B32+Assumptions!B33*0)</f>
        <v/>
      </c>
      <c r="M16" s="156">
        <f>M6*(Assumptions!B32+Assumptions!B33*0)</f>
        <v/>
      </c>
      <c r="N16" s="156">
        <f>N6*(Assumptions!B32+Assumptions!B33*0)</f>
        <v/>
      </c>
      <c r="O16" s="156">
        <f>O6*(Assumptions!B32+Assumptions!B33*1)</f>
        <v/>
      </c>
      <c r="P16" s="156">
        <f>P6*(Assumptions!B32+Assumptions!B33*1)</f>
        <v/>
      </c>
      <c r="Q16" s="156">
        <f>Q6*(Assumptions!B32+Assumptions!B33*1)</f>
        <v/>
      </c>
      <c r="R16" s="156">
        <f>R6*(Assumptions!B32+Assumptions!B33*1)</f>
        <v/>
      </c>
      <c r="S16" s="156">
        <f>S6*(Assumptions!B32+Assumptions!B33*1)</f>
        <v/>
      </c>
      <c r="T16" s="156">
        <f>T6*(Assumptions!B32+Assumptions!B33*1)</f>
        <v/>
      </c>
      <c r="U16" s="156">
        <f>U6*(Assumptions!B32+Assumptions!B33*1)</f>
        <v/>
      </c>
      <c r="V16" s="156">
        <f>V6*(Assumptions!B32+Assumptions!B33*1)</f>
        <v/>
      </c>
      <c r="W16" s="156">
        <f>W6*(Assumptions!B32+Assumptions!B33*1)</f>
        <v/>
      </c>
      <c r="X16" s="156">
        <f>X6*(Assumptions!B32+Assumptions!B33*1)</f>
        <v/>
      </c>
      <c r="Y16" s="156">
        <f>Y6*(Assumptions!B32+Assumptions!B33*1)</f>
        <v/>
      </c>
      <c r="Z16" s="156">
        <f>Z6*(Assumptions!B32+Assumptions!B33*1)</f>
        <v/>
      </c>
      <c r="AA16" s="156">
        <f>AA6*(Assumptions!B32+Assumptions!B33*2)</f>
        <v/>
      </c>
      <c r="AB16" s="156">
        <f>AB6*(Assumptions!B32+Assumptions!B33*2)</f>
        <v/>
      </c>
      <c r="AC16" s="156">
        <f>AC6*(Assumptions!B32+Assumptions!B33*2)</f>
        <v/>
      </c>
      <c r="AD16" s="156">
        <f>AD6*(Assumptions!B32+Assumptions!B33*2)</f>
        <v/>
      </c>
      <c r="AE16" s="156">
        <f>AE6*(Assumptions!B32+Assumptions!B33*2)</f>
        <v/>
      </c>
      <c r="AF16" s="156">
        <f>AF6*(Assumptions!B32+Assumptions!B33*2)</f>
        <v/>
      </c>
      <c r="AG16" s="156">
        <f>AG6*(Assumptions!B32+Assumptions!B33*2)</f>
        <v/>
      </c>
      <c r="AH16" s="156">
        <f>AH6*(Assumptions!B32+Assumptions!B33*2)</f>
        <v/>
      </c>
      <c r="AI16" s="156">
        <f>AI6*(Assumptions!B32+Assumptions!B33*2)</f>
        <v/>
      </c>
      <c r="AJ16" s="156">
        <f>AJ6*(Assumptions!B32+Assumptions!B33*2)</f>
        <v/>
      </c>
      <c r="AK16" s="156">
        <f>AK6*(Assumptions!B32+Assumptions!B33*2)</f>
        <v/>
      </c>
      <c r="AL16" s="156">
        <f>AL6*(Assumptions!B32+Assumptions!B33*2)</f>
        <v/>
      </c>
      <c r="AM16" s="156">
        <f>AM6*(Assumptions!B32+Assumptions!B33*3)</f>
        <v/>
      </c>
      <c r="AN16" s="156">
        <f>AN6*(Assumptions!B32+Assumptions!B33*3)</f>
        <v/>
      </c>
      <c r="AO16" s="156">
        <f>AO6*(Assumptions!B32+Assumptions!B33*3)</f>
        <v/>
      </c>
      <c r="AP16" s="156">
        <f>AP6*(Assumptions!B32+Assumptions!B33*3)</f>
        <v/>
      </c>
      <c r="AQ16" s="156">
        <f>AQ6*(Assumptions!B32+Assumptions!B33*3)</f>
        <v/>
      </c>
      <c r="AR16" s="156">
        <f>AR6*(Assumptions!B32+Assumptions!B33*3)</f>
        <v/>
      </c>
      <c r="AS16" s="156">
        <f>AS6*(Assumptions!B32+Assumptions!B33*3)</f>
        <v/>
      </c>
      <c r="AT16" s="156">
        <f>AT6*(Assumptions!B32+Assumptions!B33*3)</f>
        <v/>
      </c>
      <c r="AU16" s="156">
        <f>AU6*(Assumptions!B32+Assumptions!B33*3)</f>
        <v/>
      </c>
      <c r="AV16" s="156">
        <f>AV6*(Assumptions!B32+Assumptions!B33*3)</f>
        <v/>
      </c>
      <c r="AW16" s="156">
        <f>AW6*(Assumptions!B32+Assumptions!B33*3)</f>
        <v/>
      </c>
      <c r="AX16" s="156">
        <f>AX6*(Assumptions!B32+Assumptions!B33*3)</f>
        <v/>
      </c>
      <c r="AY16" s="156">
        <f>AY6*(Assumptions!B32+Assumptions!B33*4)</f>
        <v/>
      </c>
      <c r="AZ16" s="156">
        <f>AZ6*(Assumptions!B32+Assumptions!B33*4)</f>
        <v/>
      </c>
      <c r="BA16" s="156">
        <f>BA6*(Assumptions!B32+Assumptions!B33*4)</f>
        <v/>
      </c>
      <c r="BB16" s="156">
        <f>BB6*(Assumptions!B32+Assumptions!B33*4)</f>
        <v/>
      </c>
      <c r="BC16" s="156">
        <f>BC6*(Assumptions!B32+Assumptions!B33*4)</f>
        <v/>
      </c>
      <c r="BD16" s="156">
        <f>BD6*(Assumptions!B32+Assumptions!B33*4)</f>
        <v/>
      </c>
      <c r="BE16" s="156">
        <f>BE6*(Assumptions!B32+Assumptions!B33*4)</f>
        <v/>
      </c>
      <c r="BF16" s="156">
        <f>BF6*(Assumptions!B32+Assumptions!B33*4)</f>
        <v/>
      </c>
      <c r="BG16" s="156">
        <f>BG6*(Assumptions!B32+Assumptions!B33*4)</f>
        <v/>
      </c>
      <c r="BH16" s="156">
        <f>BH6*(Assumptions!B32+Assumptions!B33*4)</f>
        <v/>
      </c>
      <c r="BI16" s="156">
        <f>BI6*(Assumptions!B32+Assumptions!B33*4)</f>
        <v/>
      </c>
      <c r="BJ16" s="156">
        <f>BJ6*(Assumptions!B32+Assumptions!B33*4)</f>
        <v/>
      </c>
      <c r="BL16" s="157">
        <f>C16+D16+E16+F16+G16+H16+I16+J16+K16+L16+M16+N16</f>
        <v/>
      </c>
      <c r="BM16" s="157">
        <f>O16+P16+Q16+R16+S16+T16+U16+V16+W16+X16+Y16+Z16</f>
        <v/>
      </c>
      <c r="BN16" s="157">
        <f>AA16+AB16+AC16+AD16+AE16+AF16+AG16+AH16+AI16+AJ16+AK16+AL16</f>
        <v/>
      </c>
      <c r="BO16" s="157">
        <f>AM16+AN16+AO16+AP16+AQ16+AR16+AS16+AT16+AU16+AV16+AW16+AX16</f>
        <v/>
      </c>
      <c r="BP16" s="157">
        <f>AY16+AZ16+BA16+BB16+BC16+BD16+BE16+BF16+BG16+BH16+BI16+BJ16</f>
        <v/>
      </c>
    </row>
    <row r="17" ht="15" customHeight="1" s="104">
      <c r="A17" s="215" t="inlineStr">
        <is>
          <t xml:space="preserve">    % of Revenue</t>
        </is>
      </c>
      <c r="C17" s="216">
        <f>IF(C6=0,0,C16/C6)</f>
        <v/>
      </c>
      <c r="D17" s="216">
        <f>IF(D6=0,0,D16/D6)</f>
        <v/>
      </c>
      <c r="E17" s="216">
        <f>IF(E6=0,0,E16/E6)</f>
        <v/>
      </c>
      <c r="F17" s="216">
        <f>IF(F6=0,0,F16/F6)</f>
        <v/>
      </c>
      <c r="G17" s="216">
        <f>IF(G6=0,0,G16/G6)</f>
        <v/>
      </c>
      <c r="H17" s="216">
        <f>IF(H6=0,0,H16/H6)</f>
        <v/>
      </c>
      <c r="I17" s="216">
        <f>IF(I6=0,0,I16/I6)</f>
        <v/>
      </c>
      <c r="J17" s="216">
        <f>IF(J6=0,0,J16/J6)</f>
        <v/>
      </c>
      <c r="K17" s="216">
        <f>IF(K6=0,0,K16/K6)</f>
        <v/>
      </c>
      <c r="L17" s="216">
        <f>IF(L6=0,0,L16/L6)</f>
        <v/>
      </c>
      <c r="M17" s="216">
        <f>IF(M6=0,0,M16/M6)</f>
        <v/>
      </c>
      <c r="N17" s="216">
        <f>IF(N6=0,0,N16/N6)</f>
        <v/>
      </c>
      <c r="O17" s="216">
        <f>IF(O6=0,0,O16/O6)</f>
        <v/>
      </c>
      <c r="P17" s="216">
        <f>IF(P6=0,0,P16/P6)</f>
        <v/>
      </c>
      <c r="Q17" s="216">
        <f>IF(Q6=0,0,Q16/Q6)</f>
        <v/>
      </c>
      <c r="R17" s="216">
        <f>IF(R6=0,0,R16/R6)</f>
        <v/>
      </c>
      <c r="S17" s="216">
        <f>IF(S6=0,0,S16/S6)</f>
        <v/>
      </c>
      <c r="T17" s="216">
        <f>IF(T6=0,0,T16/T6)</f>
        <v/>
      </c>
      <c r="U17" s="216">
        <f>IF(U6=0,0,U16/U6)</f>
        <v/>
      </c>
      <c r="V17" s="216">
        <f>IF(V6=0,0,V16/V6)</f>
        <v/>
      </c>
      <c r="W17" s="216">
        <f>IF(W6=0,0,W16/W6)</f>
        <v/>
      </c>
      <c r="X17" s="216">
        <f>IF(X6=0,0,X16/X6)</f>
        <v/>
      </c>
      <c r="Y17" s="216">
        <f>IF(Y6=0,0,Y16/Y6)</f>
        <v/>
      </c>
      <c r="Z17" s="216">
        <f>IF(Z6=0,0,Z16/Z6)</f>
        <v/>
      </c>
      <c r="AA17" s="216">
        <f>IF(AA6=0,0,AA16/AA6)</f>
        <v/>
      </c>
      <c r="AB17" s="216">
        <f>IF(AB6=0,0,AB16/AB6)</f>
        <v/>
      </c>
      <c r="AC17" s="216">
        <f>IF(AC6=0,0,AC16/AC6)</f>
        <v/>
      </c>
      <c r="AD17" s="216">
        <f>IF(AD6=0,0,AD16/AD6)</f>
        <v/>
      </c>
      <c r="AE17" s="216">
        <f>IF(AE6=0,0,AE16/AE6)</f>
        <v/>
      </c>
      <c r="AF17" s="216">
        <f>IF(AF6=0,0,AF16/AF6)</f>
        <v/>
      </c>
      <c r="AG17" s="216">
        <f>IF(AG6=0,0,AG16/AG6)</f>
        <v/>
      </c>
      <c r="AH17" s="216">
        <f>IF(AH6=0,0,AH16/AH6)</f>
        <v/>
      </c>
      <c r="AI17" s="216">
        <f>IF(AI6=0,0,AI16/AI6)</f>
        <v/>
      </c>
      <c r="AJ17" s="216">
        <f>IF(AJ6=0,0,AJ16/AJ6)</f>
        <v/>
      </c>
      <c r="AK17" s="216">
        <f>IF(AK6=0,0,AK16/AK6)</f>
        <v/>
      </c>
      <c r="AL17" s="216">
        <f>IF(AL6=0,0,AL16/AL6)</f>
        <v/>
      </c>
      <c r="AM17" s="216">
        <f>IF(AM6=0,0,AM16/AM6)</f>
        <v/>
      </c>
      <c r="AN17" s="216">
        <f>IF(AN6=0,0,AN16/AN6)</f>
        <v/>
      </c>
      <c r="AO17" s="216">
        <f>IF(AO6=0,0,AO16/AO6)</f>
        <v/>
      </c>
      <c r="AP17" s="216">
        <f>IF(AP6=0,0,AP16/AP6)</f>
        <v/>
      </c>
      <c r="AQ17" s="216">
        <f>IF(AQ6=0,0,AQ16/AQ6)</f>
        <v/>
      </c>
      <c r="AR17" s="216">
        <f>IF(AR6=0,0,AR16/AR6)</f>
        <v/>
      </c>
      <c r="AS17" s="216">
        <f>IF(AS6=0,0,AS16/AS6)</f>
        <v/>
      </c>
      <c r="AT17" s="216">
        <f>IF(AT6=0,0,AT16/AT6)</f>
        <v/>
      </c>
      <c r="AU17" s="216">
        <f>IF(AU6=0,0,AU16/AU6)</f>
        <v/>
      </c>
      <c r="AV17" s="216">
        <f>IF(AV6=0,0,AV16/AV6)</f>
        <v/>
      </c>
      <c r="AW17" s="216">
        <f>IF(AW6=0,0,AW16/AW6)</f>
        <v/>
      </c>
      <c r="AX17" s="216">
        <f>IF(AX6=0,0,AX16/AX6)</f>
        <v/>
      </c>
      <c r="AY17" s="216">
        <f>IF(AY6=0,0,AY16/AY6)</f>
        <v/>
      </c>
      <c r="AZ17" s="216">
        <f>IF(AZ6=0,0,AZ16/AZ6)</f>
        <v/>
      </c>
      <c r="BA17" s="216">
        <f>IF(BA6=0,0,BA16/BA6)</f>
        <v/>
      </c>
      <c r="BB17" s="216">
        <f>IF(BB6=0,0,BB16/BB6)</f>
        <v/>
      </c>
      <c r="BC17" s="216">
        <f>IF(BC6=0,0,BC16/BC6)</f>
        <v/>
      </c>
      <c r="BD17" s="216">
        <f>IF(BD6=0,0,BD16/BD6)</f>
        <v/>
      </c>
      <c r="BE17" s="216">
        <f>IF(BE6=0,0,BE16/BE6)</f>
        <v/>
      </c>
      <c r="BF17" s="216">
        <f>IF(BF6=0,0,BF16/BF6)</f>
        <v/>
      </c>
      <c r="BG17" s="216">
        <f>IF(BG6=0,0,BG16/BG6)</f>
        <v/>
      </c>
      <c r="BH17" s="216">
        <f>IF(BH6=0,0,BH16/BH6)</f>
        <v/>
      </c>
      <c r="BI17" s="216">
        <f>IF(BI6=0,0,BI16/BI6)</f>
        <v/>
      </c>
      <c r="BJ17" s="216">
        <f>IF(BJ6=0,0,BJ16/BJ6)</f>
        <v/>
      </c>
      <c r="BL17" s="217">
        <f>IF((C6+D6+E6+F6+G6+H6+I6+J6+K6+L6+M6+N6)=0,0,(C16+D16+E16+F16+G16+H16+I16+J16+K16+L16+M16+N16)/(C6+D6+E6+F6+G6+H6+I6+J6+K6+L6+M6+N6))</f>
        <v/>
      </c>
      <c r="BM17" s="217">
        <f>IF((O6+P6+Q6+R6+S6+T6+U6+V6+W6+X6+Y6+Z6)=0,0,(O16+P16+Q16+R16+S16+T16+U16+V16+W16+X16+Y16+Z16)/(O6+P6+Q6+R6+S6+T6+U6+V6+W6+X6+Y6+Z6))</f>
        <v/>
      </c>
      <c r="BN17" s="217">
        <f>IF((AA6+AB6+AC6+AD6+AE6+AF6+AG6+AH6+AI6+AJ6+AK6+AL6)=0,0,(AA16+AB16+AC16+AD16+AE16+AF16+AG16+AH16+AI16+AJ16+AK16+AL16)/(AA6+AB6+AC6+AD6+AE6+AF6+AG6+AH6+AI6+AJ6+AK6+AL6))</f>
        <v/>
      </c>
      <c r="BO17" s="217">
        <f>IF((AM6+AN6+AO6+AP6+AQ6+AR6+AS6+AT6+AU6+AV6+AW6+AX6)=0,0,(AM16+AN16+AO16+AP16+AQ16+AR16+AS16+AT16+AU16+AV16+AW16+AX16)/(AM6+AN6+AO6+AP6+AQ6+AR6+AS6+AT6+AU6+AV6+AW6+AX6))</f>
        <v/>
      </c>
      <c r="BP17" s="217">
        <f>IF((AY6+AZ6+BA6+BB6+BC6+BD6+BE6+BF6+BG6+BH6+BI6+BJ6)=0,0,(AY16+AZ16+BA16+BB16+BC16+BD16+BE16+BF16+BG16+BH16+BI16+BJ16)/(AY6+AZ6+BA6+BB6+BC6+BD6+BE6+BF6+BG6+BH6+BI6+BJ6))</f>
        <v/>
      </c>
    </row>
    <row r="18" ht="15" customHeight="1" s="104">
      <c r="A18" s="107" t="inlineStr">
        <is>
          <t>Other Operating Expenses</t>
        </is>
      </c>
      <c r="C18" s="156">
        <f>C6*(Assumptions!B34+Assumptions!B35*0)</f>
        <v/>
      </c>
      <c r="D18" s="156">
        <f>D6*(Assumptions!B34+Assumptions!B35*0)</f>
        <v/>
      </c>
      <c r="E18" s="156">
        <f>E6*(Assumptions!B34+Assumptions!B35*0)</f>
        <v/>
      </c>
      <c r="F18" s="156">
        <f>F6*(Assumptions!B34+Assumptions!B35*0)</f>
        <v/>
      </c>
      <c r="G18" s="156">
        <f>G6*(Assumptions!B34+Assumptions!B35*0)</f>
        <v/>
      </c>
      <c r="H18" s="156">
        <f>H6*(Assumptions!B34+Assumptions!B35*0)</f>
        <v/>
      </c>
      <c r="I18" s="156">
        <f>I6*(Assumptions!B34+Assumptions!B35*0)</f>
        <v/>
      </c>
      <c r="J18" s="156">
        <f>J6*(Assumptions!B34+Assumptions!B35*0)</f>
        <v/>
      </c>
      <c r="K18" s="156">
        <f>K6*(Assumptions!B34+Assumptions!B35*0)</f>
        <v/>
      </c>
      <c r="L18" s="156">
        <f>L6*(Assumptions!B34+Assumptions!B35*0)</f>
        <v/>
      </c>
      <c r="M18" s="156">
        <f>M6*(Assumptions!B34+Assumptions!B35*0)</f>
        <v/>
      </c>
      <c r="N18" s="156">
        <f>N6*(Assumptions!B34+Assumptions!B35*0)</f>
        <v/>
      </c>
      <c r="O18" s="156">
        <f>O6*(Assumptions!B34+Assumptions!B35*1)</f>
        <v/>
      </c>
      <c r="P18" s="156">
        <f>P6*(Assumptions!B34+Assumptions!B35*1)</f>
        <v/>
      </c>
      <c r="Q18" s="156">
        <f>Q6*(Assumptions!B34+Assumptions!B35*1)</f>
        <v/>
      </c>
      <c r="R18" s="156">
        <f>R6*(Assumptions!B34+Assumptions!B35*1)</f>
        <v/>
      </c>
      <c r="S18" s="156">
        <f>S6*(Assumptions!B34+Assumptions!B35*1)</f>
        <v/>
      </c>
      <c r="T18" s="156">
        <f>T6*(Assumptions!B34+Assumptions!B35*1)</f>
        <v/>
      </c>
      <c r="U18" s="156">
        <f>U6*(Assumptions!B34+Assumptions!B35*1)</f>
        <v/>
      </c>
      <c r="V18" s="156">
        <f>V6*(Assumptions!B34+Assumptions!B35*1)</f>
        <v/>
      </c>
      <c r="W18" s="156">
        <f>W6*(Assumptions!B34+Assumptions!B35*1)</f>
        <v/>
      </c>
      <c r="X18" s="156">
        <f>X6*(Assumptions!B34+Assumptions!B35*1)</f>
        <v/>
      </c>
      <c r="Y18" s="156">
        <f>Y6*(Assumptions!B34+Assumptions!B35*1)</f>
        <v/>
      </c>
      <c r="Z18" s="156">
        <f>Z6*(Assumptions!B34+Assumptions!B35*1)</f>
        <v/>
      </c>
      <c r="AA18" s="156">
        <f>AA6*(Assumptions!B34+Assumptions!B35*2)</f>
        <v/>
      </c>
      <c r="AB18" s="156">
        <f>AB6*(Assumptions!B34+Assumptions!B35*2)</f>
        <v/>
      </c>
      <c r="AC18" s="156">
        <f>AC6*(Assumptions!B34+Assumptions!B35*2)</f>
        <v/>
      </c>
      <c r="AD18" s="156">
        <f>AD6*(Assumptions!B34+Assumptions!B35*2)</f>
        <v/>
      </c>
      <c r="AE18" s="156">
        <f>AE6*(Assumptions!B34+Assumptions!B35*2)</f>
        <v/>
      </c>
      <c r="AF18" s="156">
        <f>AF6*(Assumptions!B34+Assumptions!B35*2)</f>
        <v/>
      </c>
      <c r="AG18" s="156">
        <f>AG6*(Assumptions!B34+Assumptions!B35*2)</f>
        <v/>
      </c>
      <c r="AH18" s="156">
        <f>AH6*(Assumptions!B34+Assumptions!B35*2)</f>
        <v/>
      </c>
      <c r="AI18" s="156">
        <f>AI6*(Assumptions!B34+Assumptions!B35*2)</f>
        <v/>
      </c>
      <c r="AJ18" s="156">
        <f>AJ6*(Assumptions!B34+Assumptions!B35*2)</f>
        <v/>
      </c>
      <c r="AK18" s="156">
        <f>AK6*(Assumptions!B34+Assumptions!B35*2)</f>
        <v/>
      </c>
      <c r="AL18" s="156">
        <f>AL6*(Assumptions!B34+Assumptions!B35*2)</f>
        <v/>
      </c>
      <c r="AM18" s="156">
        <f>AM6*(Assumptions!B34+Assumptions!B35*3)</f>
        <v/>
      </c>
      <c r="AN18" s="156">
        <f>AN6*(Assumptions!B34+Assumptions!B35*3)</f>
        <v/>
      </c>
      <c r="AO18" s="156">
        <f>AO6*(Assumptions!B34+Assumptions!B35*3)</f>
        <v/>
      </c>
      <c r="AP18" s="156">
        <f>AP6*(Assumptions!B34+Assumptions!B35*3)</f>
        <v/>
      </c>
      <c r="AQ18" s="156">
        <f>AQ6*(Assumptions!B34+Assumptions!B35*3)</f>
        <v/>
      </c>
      <c r="AR18" s="156">
        <f>AR6*(Assumptions!B34+Assumptions!B35*3)</f>
        <v/>
      </c>
      <c r="AS18" s="156">
        <f>AS6*(Assumptions!B34+Assumptions!B35*3)</f>
        <v/>
      </c>
      <c r="AT18" s="156">
        <f>AT6*(Assumptions!B34+Assumptions!B35*3)</f>
        <v/>
      </c>
      <c r="AU18" s="156">
        <f>AU6*(Assumptions!B34+Assumptions!B35*3)</f>
        <v/>
      </c>
      <c r="AV18" s="156">
        <f>AV6*(Assumptions!B34+Assumptions!B35*3)</f>
        <v/>
      </c>
      <c r="AW18" s="156">
        <f>AW6*(Assumptions!B34+Assumptions!B35*3)</f>
        <v/>
      </c>
      <c r="AX18" s="156">
        <f>AX6*(Assumptions!B34+Assumptions!B35*3)</f>
        <v/>
      </c>
      <c r="AY18" s="156">
        <f>AY6*(Assumptions!B34+Assumptions!B35*4)</f>
        <v/>
      </c>
      <c r="AZ18" s="156">
        <f>AZ6*(Assumptions!B34+Assumptions!B35*4)</f>
        <v/>
      </c>
      <c r="BA18" s="156">
        <f>BA6*(Assumptions!B34+Assumptions!B35*4)</f>
        <v/>
      </c>
      <c r="BB18" s="156">
        <f>BB6*(Assumptions!B34+Assumptions!B35*4)</f>
        <v/>
      </c>
      <c r="BC18" s="156">
        <f>BC6*(Assumptions!B34+Assumptions!B35*4)</f>
        <v/>
      </c>
      <c r="BD18" s="156">
        <f>BD6*(Assumptions!B34+Assumptions!B35*4)</f>
        <v/>
      </c>
      <c r="BE18" s="156">
        <f>BE6*(Assumptions!B34+Assumptions!B35*4)</f>
        <v/>
      </c>
      <c r="BF18" s="156">
        <f>BF6*(Assumptions!B34+Assumptions!B35*4)</f>
        <v/>
      </c>
      <c r="BG18" s="156">
        <f>BG6*(Assumptions!B34+Assumptions!B35*4)</f>
        <v/>
      </c>
      <c r="BH18" s="156">
        <f>BH6*(Assumptions!B34+Assumptions!B35*4)</f>
        <v/>
      </c>
      <c r="BI18" s="156">
        <f>BI6*(Assumptions!B34+Assumptions!B35*4)</f>
        <v/>
      </c>
      <c r="BJ18" s="156">
        <f>BJ6*(Assumptions!B34+Assumptions!B35*4)</f>
        <v/>
      </c>
      <c r="BL18" s="157">
        <f>C18+D18+E18+F18+G18+H18+I18+J18+K18+L18+M18+N18</f>
        <v/>
      </c>
      <c r="BM18" s="157">
        <f>O18+P18+Q18+R18+S18+T18+U18+V18+W18+X18+Y18+Z18</f>
        <v/>
      </c>
      <c r="BN18" s="157">
        <f>AA18+AB18+AC18+AD18+AE18+AF18+AG18+AH18+AI18+AJ18+AK18+AL18</f>
        <v/>
      </c>
      <c r="BO18" s="157">
        <f>AM18+AN18+AO18+AP18+AQ18+AR18+AS18+AT18+AU18+AV18+AW18+AX18</f>
        <v/>
      </c>
      <c r="BP18" s="157">
        <f>AY18+AZ18+BA18+BB18+BC18+BD18+BE18+BF18+BG18+BH18+BI18+BJ18</f>
        <v/>
      </c>
    </row>
    <row r="19" ht="15" customHeight="1" s="104">
      <c r="A19" s="215" t="inlineStr">
        <is>
          <t xml:space="preserve">    % of Revenue</t>
        </is>
      </c>
      <c r="C19" s="216">
        <f>IF(C6=0,0,C18/C6)</f>
        <v/>
      </c>
      <c r="D19" s="216">
        <f>IF(D6=0,0,D18/D6)</f>
        <v/>
      </c>
      <c r="E19" s="216">
        <f>IF(E6=0,0,E18/E6)</f>
        <v/>
      </c>
      <c r="F19" s="216">
        <f>IF(F6=0,0,F18/F6)</f>
        <v/>
      </c>
      <c r="G19" s="216">
        <f>IF(G6=0,0,G18/G6)</f>
        <v/>
      </c>
      <c r="H19" s="216">
        <f>IF(H6=0,0,H18/H6)</f>
        <v/>
      </c>
      <c r="I19" s="216">
        <f>IF(I6=0,0,I18/I6)</f>
        <v/>
      </c>
      <c r="J19" s="216">
        <f>IF(J6=0,0,J18/J6)</f>
        <v/>
      </c>
      <c r="K19" s="216">
        <f>IF(K6=0,0,K18/K6)</f>
        <v/>
      </c>
      <c r="L19" s="216">
        <f>IF(L6=0,0,L18/L6)</f>
        <v/>
      </c>
      <c r="M19" s="216">
        <f>IF(M6=0,0,M18/M6)</f>
        <v/>
      </c>
      <c r="N19" s="216">
        <f>IF(N6=0,0,N18/N6)</f>
        <v/>
      </c>
      <c r="O19" s="216">
        <f>IF(O6=0,0,O18/O6)</f>
        <v/>
      </c>
      <c r="P19" s="216">
        <f>IF(P6=0,0,P18/P6)</f>
        <v/>
      </c>
      <c r="Q19" s="216">
        <f>IF(Q6=0,0,Q18/Q6)</f>
        <v/>
      </c>
      <c r="R19" s="216">
        <f>IF(R6=0,0,R18/R6)</f>
        <v/>
      </c>
      <c r="S19" s="216">
        <f>IF(S6=0,0,S18/S6)</f>
        <v/>
      </c>
      <c r="T19" s="216">
        <f>IF(T6=0,0,T18/T6)</f>
        <v/>
      </c>
      <c r="U19" s="216">
        <f>IF(U6=0,0,U18/U6)</f>
        <v/>
      </c>
      <c r="V19" s="216">
        <f>IF(V6=0,0,V18/V6)</f>
        <v/>
      </c>
      <c r="W19" s="216">
        <f>IF(W6=0,0,W18/W6)</f>
        <v/>
      </c>
      <c r="X19" s="216">
        <f>IF(X6=0,0,X18/X6)</f>
        <v/>
      </c>
      <c r="Y19" s="216">
        <f>IF(Y6=0,0,Y18/Y6)</f>
        <v/>
      </c>
      <c r="Z19" s="216">
        <f>IF(Z6=0,0,Z18/Z6)</f>
        <v/>
      </c>
      <c r="AA19" s="216">
        <f>IF(AA6=0,0,AA18/AA6)</f>
        <v/>
      </c>
      <c r="AB19" s="216">
        <f>IF(AB6=0,0,AB18/AB6)</f>
        <v/>
      </c>
      <c r="AC19" s="216">
        <f>IF(AC6=0,0,AC18/AC6)</f>
        <v/>
      </c>
      <c r="AD19" s="216">
        <f>IF(AD6=0,0,AD18/AD6)</f>
        <v/>
      </c>
      <c r="AE19" s="216">
        <f>IF(AE6=0,0,AE18/AE6)</f>
        <v/>
      </c>
      <c r="AF19" s="216">
        <f>IF(AF6=0,0,AF18/AF6)</f>
        <v/>
      </c>
      <c r="AG19" s="216">
        <f>IF(AG6=0,0,AG18/AG6)</f>
        <v/>
      </c>
      <c r="AH19" s="216">
        <f>IF(AH6=0,0,AH18/AH6)</f>
        <v/>
      </c>
      <c r="AI19" s="216">
        <f>IF(AI6=0,0,AI18/AI6)</f>
        <v/>
      </c>
      <c r="AJ19" s="216">
        <f>IF(AJ6=0,0,AJ18/AJ6)</f>
        <v/>
      </c>
      <c r="AK19" s="216">
        <f>IF(AK6=0,0,AK18/AK6)</f>
        <v/>
      </c>
      <c r="AL19" s="216">
        <f>IF(AL6=0,0,AL18/AL6)</f>
        <v/>
      </c>
      <c r="AM19" s="216">
        <f>IF(AM6=0,0,AM18/AM6)</f>
        <v/>
      </c>
      <c r="AN19" s="216">
        <f>IF(AN6=0,0,AN18/AN6)</f>
        <v/>
      </c>
      <c r="AO19" s="216">
        <f>IF(AO6=0,0,AO18/AO6)</f>
        <v/>
      </c>
      <c r="AP19" s="216">
        <f>IF(AP6=0,0,AP18/AP6)</f>
        <v/>
      </c>
      <c r="AQ19" s="216">
        <f>IF(AQ6=0,0,AQ18/AQ6)</f>
        <v/>
      </c>
      <c r="AR19" s="216">
        <f>IF(AR6=0,0,AR18/AR6)</f>
        <v/>
      </c>
      <c r="AS19" s="216">
        <f>IF(AS6=0,0,AS18/AS6)</f>
        <v/>
      </c>
      <c r="AT19" s="216">
        <f>IF(AT6=0,0,AT18/AT6)</f>
        <v/>
      </c>
      <c r="AU19" s="216">
        <f>IF(AU6=0,0,AU18/AU6)</f>
        <v/>
      </c>
      <c r="AV19" s="216">
        <f>IF(AV6=0,0,AV18/AV6)</f>
        <v/>
      </c>
      <c r="AW19" s="216">
        <f>IF(AW6=0,0,AW18/AW6)</f>
        <v/>
      </c>
      <c r="AX19" s="216">
        <f>IF(AX6=0,0,AX18/AX6)</f>
        <v/>
      </c>
      <c r="AY19" s="216">
        <f>IF(AY6=0,0,AY18/AY6)</f>
        <v/>
      </c>
      <c r="AZ19" s="216">
        <f>IF(AZ6=0,0,AZ18/AZ6)</f>
        <v/>
      </c>
      <c r="BA19" s="216">
        <f>IF(BA6=0,0,BA18/BA6)</f>
        <v/>
      </c>
      <c r="BB19" s="216">
        <f>IF(BB6=0,0,BB18/BB6)</f>
        <v/>
      </c>
      <c r="BC19" s="216">
        <f>IF(BC6=0,0,BC18/BC6)</f>
        <v/>
      </c>
      <c r="BD19" s="216">
        <f>IF(BD6=0,0,BD18/BD6)</f>
        <v/>
      </c>
      <c r="BE19" s="216">
        <f>IF(BE6=0,0,BE18/BE6)</f>
        <v/>
      </c>
      <c r="BF19" s="216">
        <f>IF(BF6=0,0,BF18/BF6)</f>
        <v/>
      </c>
      <c r="BG19" s="216">
        <f>IF(BG6=0,0,BG18/BG6)</f>
        <v/>
      </c>
      <c r="BH19" s="216">
        <f>IF(BH6=0,0,BH18/BH6)</f>
        <v/>
      </c>
      <c r="BI19" s="216">
        <f>IF(BI6=0,0,BI18/BI6)</f>
        <v/>
      </c>
      <c r="BJ19" s="216">
        <f>IF(BJ6=0,0,BJ18/BJ6)</f>
        <v/>
      </c>
      <c r="BL19" s="217">
        <f>IF((C6+D6+E6+F6+G6+H6+I6+J6+K6+L6+M6+N6)=0,0,(C18+D18+E18+F18+G18+H18+I18+J18+K18+L18+M18+N18)/(C6+D6+E6+F6+G6+H6+I6+J6+K6+L6+M6+N6))</f>
        <v/>
      </c>
      <c r="BM19" s="217">
        <f>IF((O6+P6+Q6+R6+S6+T6+U6+V6+W6+X6+Y6+Z6)=0,0,(O18+P18+Q18+R18+S18+T18+U18+V18+W18+X18+Y18+Z18)/(O6+P6+Q6+R6+S6+T6+U6+V6+W6+X6+Y6+Z6))</f>
        <v/>
      </c>
      <c r="BN19" s="217">
        <f>IF((AA6+AB6+AC6+AD6+AE6+AF6+AG6+AH6+AI6+AJ6+AK6+AL6)=0,0,(AA18+AB18+AC18+AD18+AE18+AF18+AG18+AH18+AI18+AJ18+AK18+AL18)/(AA6+AB6+AC6+AD6+AE6+AF6+AG6+AH6+AI6+AJ6+AK6+AL6))</f>
        <v/>
      </c>
      <c r="BO19" s="217">
        <f>IF((AM6+AN6+AO6+AP6+AQ6+AR6+AS6+AT6+AU6+AV6+AW6+AX6)=0,0,(AM18+AN18+AO18+AP18+AQ18+AR18+AS18+AT18+AU18+AV18+AW18+AX18)/(AM6+AN6+AO6+AP6+AQ6+AR6+AS6+AT6+AU6+AV6+AW6+AX6))</f>
        <v/>
      </c>
      <c r="BP19" s="217">
        <f>IF((AY6+AZ6+BA6+BB6+BC6+BD6+BE6+BF6+BG6+BH6+BI6+BJ6)=0,0,(AY18+AZ18+BA18+BB18+BC18+BD18+BE18+BF18+BG18+BH18+BI18+BJ18)/(AY6+AZ6+BA6+BB6+BC6+BD6+BE6+BF6+BG6+BH6+BI6+BJ6))</f>
        <v/>
      </c>
    </row>
    <row r="20" ht="15" customHeight="1" s="104">
      <c r="A20" s="116" t="inlineStr">
        <is>
          <t>Total Operating Expenses</t>
        </is>
      </c>
      <c r="C20" s="151">
        <f>C8+C10+C12+C14+C16+C18</f>
        <v/>
      </c>
      <c r="D20" s="151">
        <f>D8+D10+D12+D14+D16+D18</f>
        <v/>
      </c>
      <c r="E20" s="151">
        <f>E8+E10+E12+E14+E16+E18</f>
        <v/>
      </c>
      <c r="F20" s="151">
        <f>F8+F10+F12+F14+F16+F18</f>
        <v/>
      </c>
      <c r="G20" s="151">
        <f>G8+G10+G12+G14+G16+G18</f>
        <v/>
      </c>
      <c r="H20" s="151">
        <f>H8+H10+H12+H14+H16+H18</f>
        <v/>
      </c>
      <c r="I20" s="151">
        <f>I8+I10+I12+I14+I16+I18</f>
        <v/>
      </c>
      <c r="J20" s="151">
        <f>J8+J10+J12+J14+J16+J18</f>
        <v/>
      </c>
      <c r="K20" s="151">
        <f>K8+K10+K12+K14+K16+K18</f>
        <v/>
      </c>
      <c r="L20" s="151">
        <f>L8+L10+L12+L14+L16+L18</f>
        <v/>
      </c>
      <c r="M20" s="151">
        <f>M8+M10+M12+M14+M16+M18</f>
        <v/>
      </c>
      <c r="N20" s="151">
        <f>N8+N10+N12+N14+N16+N18</f>
        <v/>
      </c>
      <c r="O20" s="151">
        <f>O8+O10+O12+O14+O16+O18</f>
        <v/>
      </c>
      <c r="P20" s="151">
        <f>P8+P10+P12+P14+P16+P18</f>
        <v/>
      </c>
      <c r="Q20" s="151">
        <f>Q8+Q10+Q12+Q14+Q16+Q18</f>
        <v/>
      </c>
      <c r="R20" s="151">
        <f>R8+R10+R12+R14+R16+R18</f>
        <v/>
      </c>
      <c r="S20" s="151">
        <f>S8+S10+S12+S14+S16+S18</f>
        <v/>
      </c>
      <c r="T20" s="151">
        <f>T8+T10+T12+T14+T16+T18</f>
        <v/>
      </c>
      <c r="U20" s="151">
        <f>U8+U10+U12+U14+U16+U18</f>
        <v/>
      </c>
      <c r="V20" s="151">
        <f>V8+V10+V12+V14+V16+V18</f>
        <v/>
      </c>
      <c r="W20" s="151">
        <f>W8+W10+W12+W14+W16+W18</f>
        <v/>
      </c>
      <c r="X20" s="151">
        <f>X8+X10+X12+X14+X16+X18</f>
        <v/>
      </c>
      <c r="Y20" s="151">
        <f>Y8+Y10+Y12+Y14+Y16+Y18</f>
        <v/>
      </c>
      <c r="Z20" s="151">
        <f>Z8+Z10+Z12+Z14+Z16+Z18</f>
        <v/>
      </c>
      <c r="AA20" s="151">
        <f>AA8+AA10+AA12+AA14+AA16+AA18</f>
        <v/>
      </c>
      <c r="AB20" s="151">
        <f>AB8+AB10+AB12+AB14+AB16+AB18</f>
        <v/>
      </c>
      <c r="AC20" s="151">
        <f>AC8+AC10+AC12+AC14+AC16+AC18</f>
        <v/>
      </c>
      <c r="AD20" s="151">
        <f>AD8+AD10+AD12+AD14+AD16+AD18</f>
        <v/>
      </c>
      <c r="AE20" s="151">
        <f>AE8+AE10+AE12+AE14+AE16+AE18</f>
        <v/>
      </c>
      <c r="AF20" s="151">
        <f>AF8+AF10+AF12+AF14+AF16+AF18</f>
        <v/>
      </c>
      <c r="AG20" s="151">
        <f>AG8+AG10+AG12+AG14+AG16+AG18</f>
        <v/>
      </c>
      <c r="AH20" s="151">
        <f>AH8+AH10+AH12+AH14+AH16+AH18</f>
        <v/>
      </c>
      <c r="AI20" s="151">
        <f>AI8+AI10+AI12+AI14+AI16+AI18</f>
        <v/>
      </c>
      <c r="AJ20" s="151">
        <f>AJ8+AJ10+AJ12+AJ14+AJ16+AJ18</f>
        <v/>
      </c>
      <c r="AK20" s="151">
        <f>AK8+AK10+AK12+AK14+AK16+AK18</f>
        <v/>
      </c>
      <c r="AL20" s="151">
        <f>AL8+AL10+AL12+AL14+AL16+AL18</f>
        <v/>
      </c>
      <c r="AM20" s="151">
        <f>AM8+AM10+AM12+AM14+AM16+AM18</f>
        <v/>
      </c>
      <c r="AN20" s="151">
        <f>AN8+AN10+AN12+AN14+AN16+AN18</f>
        <v/>
      </c>
      <c r="AO20" s="151">
        <f>AO8+AO10+AO12+AO14+AO16+AO18</f>
        <v/>
      </c>
      <c r="AP20" s="151">
        <f>AP8+AP10+AP12+AP14+AP16+AP18</f>
        <v/>
      </c>
      <c r="AQ20" s="151">
        <f>AQ8+AQ10+AQ12+AQ14+AQ16+AQ18</f>
        <v/>
      </c>
      <c r="AR20" s="151">
        <f>AR8+AR10+AR12+AR14+AR16+AR18</f>
        <v/>
      </c>
      <c r="AS20" s="151">
        <f>AS8+AS10+AS12+AS14+AS16+AS18</f>
        <v/>
      </c>
      <c r="AT20" s="151">
        <f>AT8+AT10+AT12+AT14+AT16+AT18</f>
        <v/>
      </c>
      <c r="AU20" s="151">
        <f>AU8+AU10+AU12+AU14+AU16+AU18</f>
        <v/>
      </c>
      <c r="AV20" s="151">
        <f>AV8+AV10+AV12+AV14+AV16+AV18</f>
        <v/>
      </c>
      <c r="AW20" s="151">
        <f>AW8+AW10+AW12+AW14+AW16+AW18</f>
        <v/>
      </c>
      <c r="AX20" s="151">
        <f>AX8+AX10+AX12+AX14+AX16+AX18</f>
        <v/>
      </c>
      <c r="AY20" s="151">
        <f>AY8+AY10+AY12+AY14+AY16+AY18</f>
        <v/>
      </c>
      <c r="AZ20" s="151">
        <f>AZ8+AZ10+AZ12+AZ14+AZ16+AZ18</f>
        <v/>
      </c>
      <c r="BA20" s="151">
        <f>BA8+BA10+BA12+BA14+BA16+BA18</f>
        <v/>
      </c>
      <c r="BB20" s="151">
        <f>BB8+BB10+BB12+BB14+BB16+BB18</f>
        <v/>
      </c>
      <c r="BC20" s="151">
        <f>BC8+BC10+BC12+BC14+BC16+BC18</f>
        <v/>
      </c>
      <c r="BD20" s="151">
        <f>BD8+BD10+BD12+BD14+BD16+BD18</f>
        <v/>
      </c>
      <c r="BE20" s="151">
        <f>BE8+BE10+BE12+BE14+BE16+BE18</f>
        <v/>
      </c>
      <c r="BF20" s="151">
        <f>BF8+BF10+BF12+BF14+BF16+BF18</f>
        <v/>
      </c>
      <c r="BG20" s="151">
        <f>BG8+BG10+BG12+BG14+BG16+BG18</f>
        <v/>
      </c>
      <c r="BH20" s="151">
        <f>BH8+BH10+BH12+BH14+BH16+BH18</f>
        <v/>
      </c>
      <c r="BI20" s="151">
        <f>BI8+BI10+BI12+BI14+BI16+BI18</f>
        <v/>
      </c>
      <c r="BJ20" s="151">
        <f>BJ8+BJ10+BJ12+BJ14+BJ16+BJ18</f>
        <v/>
      </c>
      <c r="BL20" s="152">
        <f>C20+D20+E20+F20+G20+H20+I20+J20+K20+L20+M20+N20</f>
        <v/>
      </c>
      <c r="BM20" s="152">
        <f>O20+P20+Q20+R20+S20+T20+U20+V20+W20+X20+Y20+Z20</f>
        <v/>
      </c>
      <c r="BN20" s="152">
        <f>AA20+AB20+AC20+AD20+AE20+AF20+AG20+AH20+AI20+AJ20+AK20+AL20</f>
        <v/>
      </c>
      <c r="BO20" s="152">
        <f>AM20+AN20+AO20+AP20+AQ20+AR20+AS20+AT20+AU20+AV20+AW20+AX20</f>
        <v/>
      </c>
      <c r="BP20" s="152">
        <f>AY20+AZ20+BA20+BB20+BC20+BD20+BE20+BF20+BG20+BH20+BI20+BJ20</f>
        <v/>
      </c>
    </row>
    <row r="21" ht="15" customHeight="1" s="104">
      <c r="A21" s="106" t="inlineStr">
        <is>
          <t>EBITDA</t>
        </is>
      </c>
    </row>
    <row r="22" ht="15" customHeight="1" s="104">
      <c r="A22" s="116" t="inlineStr">
        <is>
          <t>EBITDA</t>
        </is>
      </c>
      <c r="C22" s="151">
        <f>C6-C20</f>
        <v/>
      </c>
      <c r="D22" s="151">
        <f>D6-D20</f>
        <v/>
      </c>
      <c r="E22" s="151">
        <f>E6-E20</f>
        <v/>
      </c>
      <c r="F22" s="151">
        <f>F6-F20</f>
        <v/>
      </c>
      <c r="G22" s="151">
        <f>G6-G20</f>
        <v/>
      </c>
      <c r="H22" s="151">
        <f>H6-H20</f>
        <v/>
      </c>
      <c r="I22" s="151">
        <f>I6-I20</f>
        <v/>
      </c>
      <c r="J22" s="151">
        <f>J6-J20</f>
        <v/>
      </c>
      <c r="K22" s="151">
        <f>K6-K20</f>
        <v/>
      </c>
      <c r="L22" s="151">
        <f>L6-L20</f>
        <v/>
      </c>
      <c r="M22" s="151">
        <f>M6-M20</f>
        <v/>
      </c>
      <c r="N22" s="151">
        <f>N6-N20</f>
        <v/>
      </c>
      <c r="O22" s="151">
        <f>O6-O20</f>
        <v/>
      </c>
      <c r="P22" s="151">
        <f>P6-P20</f>
        <v/>
      </c>
      <c r="Q22" s="151">
        <f>Q6-Q20</f>
        <v/>
      </c>
      <c r="R22" s="151">
        <f>R6-R20</f>
        <v/>
      </c>
      <c r="S22" s="151">
        <f>S6-S20</f>
        <v/>
      </c>
      <c r="T22" s="151">
        <f>T6-T20</f>
        <v/>
      </c>
      <c r="U22" s="151">
        <f>U6-U20</f>
        <v/>
      </c>
      <c r="V22" s="151">
        <f>V6-V20</f>
        <v/>
      </c>
      <c r="W22" s="151">
        <f>W6-W20</f>
        <v/>
      </c>
      <c r="X22" s="151">
        <f>X6-X20</f>
        <v/>
      </c>
      <c r="Y22" s="151">
        <f>Y6-Y20</f>
        <v/>
      </c>
      <c r="Z22" s="151">
        <f>Z6-Z20</f>
        <v/>
      </c>
      <c r="AA22" s="151">
        <f>AA6-AA20</f>
        <v/>
      </c>
      <c r="AB22" s="151">
        <f>AB6-AB20</f>
        <v/>
      </c>
      <c r="AC22" s="151">
        <f>AC6-AC20</f>
        <v/>
      </c>
      <c r="AD22" s="151">
        <f>AD6-AD20</f>
        <v/>
      </c>
      <c r="AE22" s="151">
        <f>AE6-AE20</f>
        <v/>
      </c>
      <c r="AF22" s="151">
        <f>AF6-AF20</f>
        <v/>
      </c>
      <c r="AG22" s="151">
        <f>AG6-AG20</f>
        <v/>
      </c>
      <c r="AH22" s="151">
        <f>AH6-AH20</f>
        <v/>
      </c>
      <c r="AI22" s="151">
        <f>AI6-AI20</f>
        <v/>
      </c>
      <c r="AJ22" s="151">
        <f>AJ6-AJ20</f>
        <v/>
      </c>
      <c r="AK22" s="151">
        <f>AK6-AK20</f>
        <v/>
      </c>
      <c r="AL22" s="151">
        <f>AL6-AL20</f>
        <v/>
      </c>
      <c r="AM22" s="151">
        <f>AM6-AM20</f>
        <v/>
      </c>
      <c r="AN22" s="151">
        <f>AN6-AN20</f>
        <v/>
      </c>
      <c r="AO22" s="151">
        <f>AO6-AO20</f>
        <v/>
      </c>
      <c r="AP22" s="151">
        <f>AP6-AP20</f>
        <v/>
      </c>
      <c r="AQ22" s="151">
        <f>AQ6-AQ20</f>
        <v/>
      </c>
      <c r="AR22" s="151">
        <f>AR6-AR20</f>
        <v/>
      </c>
      <c r="AS22" s="151">
        <f>AS6-AS20</f>
        <v/>
      </c>
      <c r="AT22" s="151">
        <f>AT6-AT20</f>
        <v/>
      </c>
      <c r="AU22" s="151">
        <f>AU6-AU20</f>
        <v/>
      </c>
      <c r="AV22" s="151">
        <f>AV6-AV20</f>
        <v/>
      </c>
      <c r="AW22" s="151">
        <f>AW6-AW20</f>
        <v/>
      </c>
      <c r="AX22" s="151">
        <f>AX6-AX20</f>
        <v/>
      </c>
      <c r="AY22" s="151">
        <f>AY6-AY20</f>
        <v/>
      </c>
      <c r="AZ22" s="151">
        <f>AZ6-AZ20</f>
        <v/>
      </c>
      <c r="BA22" s="151">
        <f>BA6-BA20</f>
        <v/>
      </c>
      <c r="BB22" s="151">
        <f>BB6-BB20</f>
        <v/>
      </c>
      <c r="BC22" s="151">
        <f>BC6-BC20</f>
        <v/>
      </c>
      <c r="BD22" s="151">
        <f>BD6-BD20</f>
        <v/>
      </c>
      <c r="BE22" s="151">
        <f>BE6-BE20</f>
        <v/>
      </c>
      <c r="BF22" s="151">
        <f>BF6-BF20</f>
        <v/>
      </c>
      <c r="BG22" s="151">
        <f>BG6-BG20</f>
        <v/>
      </c>
      <c r="BH22" s="151">
        <f>BH6-BH20</f>
        <v/>
      </c>
      <c r="BI22" s="151">
        <f>BI6-BI20</f>
        <v/>
      </c>
      <c r="BJ22" s="151">
        <f>BJ6-BJ20</f>
        <v/>
      </c>
      <c r="BL22" s="152">
        <f>C22+D22+E22+F22+G22+H22+I22+J22+K22+L22+M22+N22</f>
        <v/>
      </c>
      <c r="BM22" s="152">
        <f>O22+P22+Q22+R22+S22+T22+U22+V22+W22+X22+Y22+Z22</f>
        <v/>
      </c>
      <c r="BN22" s="152">
        <f>AA22+AB22+AC22+AD22+AE22+AF22+AG22+AH22+AI22+AJ22+AK22+AL22</f>
        <v/>
      </c>
      <c r="BO22" s="152">
        <f>AM22+AN22+AO22+AP22+AQ22+AR22+AS22+AT22+AU22+AV22+AW22+AX22</f>
        <v/>
      </c>
      <c r="BP22" s="152">
        <f>AY22+AZ22+BA22+BB22+BC22+BD22+BE22+BF22+BG22+BH22+BI22+BJ22</f>
        <v/>
      </c>
    </row>
    <row r="23" ht="15" customHeight="1" s="104">
      <c r="A23" s="218" t="inlineStr">
        <is>
          <t xml:space="preserve">    EBITDA Margin %</t>
        </is>
      </c>
      <c r="C23" s="192">
        <f>IF(C6=0,0,C22/C6)</f>
        <v/>
      </c>
      <c r="D23" s="192">
        <f>IF(D6=0,0,D22/D6)</f>
        <v/>
      </c>
      <c r="E23" s="192">
        <f>IF(E6=0,0,E22/E6)</f>
        <v/>
      </c>
      <c r="F23" s="192">
        <f>IF(F6=0,0,F22/F6)</f>
        <v/>
      </c>
      <c r="G23" s="192">
        <f>IF(G6=0,0,G22/G6)</f>
        <v/>
      </c>
      <c r="H23" s="192">
        <f>IF(H6=0,0,H22/H6)</f>
        <v/>
      </c>
      <c r="I23" s="192">
        <f>IF(I6=0,0,I22/I6)</f>
        <v/>
      </c>
      <c r="J23" s="192">
        <f>IF(J6=0,0,J22/J6)</f>
        <v/>
      </c>
      <c r="K23" s="192">
        <f>IF(K6=0,0,K22/K6)</f>
        <v/>
      </c>
      <c r="L23" s="192">
        <f>IF(L6=0,0,L22/L6)</f>
        <v/>
      </c>
      <c r="M23" s="192">
        <f>IF(M6=0,0,M22/M6)</f>
        <v/>
      </c>
      <c r="N23" s="192">
        <f>IF(N6=0,0,N22/N6)</f>
        <v/>
      </c>
      <c r="O23" s="192">
        <f>IF(O6=0,0,O22/O6)</f>
        <v/>
      </c>
      <c r="P23" s="192">
        <f>IF(P6=0,0,P22/P6)</f>
        <v/>
      </c>
      <c r="Q23" s="192">
        <f>IF(Q6=0,0,Q22/Q6)</f>
        <v/>
      </c>
      <c r="R23" s="192">
        <f>IF(R6=0,0,R22/R6)</f>
        <v/>
      </c>
      <c r="S23" s="192">
        <f>IF(S6=0,0,S22/S6)</f>
        <v/>
      </c>
      <c r="T23" s="192">
        <f>IF(T6=0,0,T22/T6)</f>
        <v/>
      </c>
      <c r="U23" s="192">
        <f>IF(U6=0,0,U22/U6)</f>
        <v/>
      </c>
      <c r="V23" s="192">
        <f>IF(V6=0,0,V22/V6)</f>
        <v/>
      </c>
      <c r="W23" s="192">
        <f>IF(W6=0,0,W22/W6)</f>
        <v/>
      </c>
      <c r="X23" s="192">
        <f>IF(X6=0,0,X22/X6)</f>
        <v/>
      </c>
      <c r="Y23" s="192">
        <f>IF(Y6=0,0,Y22/Y6)</f>
        <v/>
      </c>
      <c r="Z23" s="192">
        <f>IF(Z6=0,0,Z22/Z6)</f>
        <v/>
      </c>
      <c r="AA23" s="192">
        <f>IF(AA6=0,0,AA22/AA6)</f>
        <v/>
      </c>
      <c r="AB23" s="192">
        <f>IF(AB6=0,0,AB22/AB6)</f>
        <v/>
      </c>
      <c r="AC23" s="192">
        <f>IF(AC6=0,0,AC22/AC6)</f>
        <v/>
      </c>
      <c r="AD23" s="192">
        <f>IF(AD6=0,0,AD22/AD6)</f>
        <v/>
      </c>
      <c r="AE23" s="192">
        <f>IF(AE6=0,0,AE22/AE6)</f>
        <v/>
      </c>
      <c r="AF23" s="192">
        <f>IF(AF6=0,0,AF22/AF6)</f>
        <v/>
      </c>
      <c r="AG23" s="192">
        <f>IF(AG6=0,0,AG22/AG6)</f>
        <v/>
      </c>
      <c r="AH23" s="192">
        <f>IF(AH6=0,0,AH22/AH6)</f>
        <v/>
      </c>
      <c r="AI23" s="192">
        <f>IF(AI6=0,0,AI22/AI6)</f>
        <v/>
      </c>
      <c r="AJ23" s="192">
        <f>IF(AJ6=0,0,AJ22/AJ6)</f>
        <v/>
      </c>
      <c r="AK23" s="192">
        <f>IF(AK6=0,0,AK22/AK6)</f>
        <v/>
      </c>
      <c r="AL23" s="192">
        <f>IF(AL6=0,0,AL22/AL6)</f>
        <v/>
      </c>
      <c r="AM23" s="192">
        <f>IF(AM6=0,0,AM22/AM6)</f>
        <v/>
      </c>
      <c r="AN23" s="192">
        <f>IF(AN6=0,0,AN22/AN6)</f>
        <v/>
      </c>
      <c r="AO23" s="192">
        <f>IF(AO6=0,0,AO22/AO6)</f>
        <v/>
      </c>
      <c r="AP23" s="192">
        <f>IF(AP6=0,0,AP22/AP6)</f>
        <v/>
      </c>
      <c r="AQ23" s="192">
        <f>IF(AQ6=0,0,AQ22/AQ6)</f>
        <v/>
      </c>
      <c r="AR23" s="192">
        <f>IF(AR6=0,0,AR22/AR6)</f>
        <v/>
      </c>
      <c r="AS23" s="192">
        <f>IF(AS6=0,0,AS22/AS6)</f>
        <v/>
      </c>
      <c r="AT23" s="192">
        <f>IF(AT6=0,0,AT22/AT6)</f>
        <v/>
      </c>
      <c r="AU23" s="192">
        <f>IF(AU6=0,0,AU22/AU6)</f>
        <v/>
      </c>
      <c r="AV23" s="192">
        <f>IF(AV6=0,0,AV22/AV6)</f>
        <v/>
      </c>
      <c r="AW23" s="192">
        <f>IF(AW6=0,0,AW22/AW6)</f>
        <v/>
      </c>
      <c r="AX23" s="192">
        <f>IF(AX6=0,0,AX22/AX6)</f>
        <v/>
      </c>
      <c r="AY23" s="192">
        <f>IF(AY6=0,0,AY22/AY6)</f>
        <v/>
      </c>
      <c r="AZ23" s="192">
        <f>IF(AZ6=0,0,AZ22/AZ6)</f>
        <v/>
      </c>
      <c r="BA23" s="192">
        <f>IF(BA6=0,0,BA22/BA6)</f>
        <v/>
      </c>
      <c r="BB23" s="192">
        <f>IF(BB6=0,0,BB22/BB6)</f>
        <v/>
      </c>
      <c r="BC23" s="192">
        <f>IF(BC6=0,0,BC22/BC6)</f>
        <v/>
      </c>
      <c r="BD23" s="192">
        <f>IF(BD6=0,0,BD22/BD6)</f>
        <v/>
      </c>
      <c r="BE23" s="192">
        <f>IF(BE6=0,0,BE22/BE6)</f>
        <v/>
      </c>
      <c r="BF23" s="192">
        <f>IF(BF6=0,0,BF22/BF6)</f>
        <v/>
      </c>
      <c r="BG23" s="192">
        <f>IF(BG6=0,0,BG22/BG6)</f>
        <v/>
      </c>
      <c r="BH23" s="192">
        <f>IF(BH6=0,0,BH22/BH6)</f>
        <v/>
      </c>
      <c r="BI23" s="192">
        <f>IF(BI6=0,0,BI22/BI6)</f>
        <v/>
      </c>
      <c r="BJ23" s="192">
        <f>IF(BJ6=0,0,BJ22/BJ6)</f>
        <v/>
      </c>
      <c r="BL23" s="219">
        <f>IF((C6+D6+E6+F6+G6+H6+I6+J6+K6+L6+M6+N6)=0,0,(C22+D22+E22+F22+G22+H22+I22+J22+K22+L22+M22+N22)/(C6+D6+E6+F6+G6+H6+I6+J6+K6+L6+M6+N6))</f>
        <v/>
      </c>
      <c r="BM23" s="219">
        <f>IF((O6+P6+Q6+R6+S6+T6+U6+V6+W6+X6+Y6+Z6)=0,0,(O22+P22+Q22+R22+S22+T22+U22+V22+W22+X22+Y22+Z22)/(O6+P6+Q6+R6+S6+T6+U6+V6+W6+X6+Y6+Z6))</f>
        <v/>
      </c>
      <c r="BN23" s="219">
        <f>IF((AA6+AB6+AC6+AD6+AE6+AF6+AG6+AH6+AI6+AJ6+AK6+AL6)=0,0,(AA22+AB22+AC22+AD22+AE22+AF22+AG22+AH22+AI22+AJ22+AK22+AL22)/(AA6+AB6+AC6+AD6+AE6+AF6+AG6+AH6+AI6+AJ6+AK6+AL6))</f>
        <v/>
      </c>
      <c r="BO23" s="219">
        <f>IF((AM6+AN6+AO6+AP6+AQ6+AR6+AS6+AT6+AU6+AV6+AW6+AX6)=0,0,(AM22+AN22+AO22+AP22+AQ22+AR22+AS22+AT22+AU22+AV22+AW22+AX22)/(AM6+AN6+AO6+AP6+AQ6+AR6+AS6+AT6+AU6+AV6+AW6+AX6))</f>
        <v/>
      </c>
      <c r="BP23" s="219">
        <f>IF((AY6+AZ6+BA6+BB6+BC6+BD6+BE6+BF6+BG6+BH6+BI6+BJ6)=0,0,(AY22+AZ22+BA22+BB22+BC22+BD22+BE22+BF22+BG22+BH22+BI22+BJ22)/(AY6+AZ6+BA6+BB6+BC6+BD6+BE6+BF6+BG6+BH6+BI6+BJ6))</f>
        <v/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16.xml><?xml version="1.0" encoding="utf-8"?>
<worksheet xmlns="http://schemas.openxmlformats.org/spreadsheetml/2006/main">
  <sheetPr filterMode="0">
    <tabColor rgb="FF5B9BD5"/>
    <outlinePr summaryBelow="1" summaryRight="1"/>
    <pageSetUpPr fitToPage="0"/>
  </sheetPr>
  <dimension ref="A1:BP2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baseColWidth="8" defaultColWidth="8.71484375" defaultRowHeight="15" zeroHeight="0" outlineLevelRow="0"/>
  <cols>
    <col width="38" customWidth="1" style="103" min="1" max="1"/>
    <col width="9" customWidth="1" style="103" min="3" max="62"/>
    <col width="11" customWidth="1" style="103" min="64" max="68"/>
  </cols>
  <sheetData>
    <row r="1" ht="19.5" customHeight="1" s="104">
      <c r="A1" s="105" t="inlineStr">
        <is>
          <t>Add-On 8 – Monthly P&amp;L ($mm)</t>
        </is>
      </c>
    </row>
    <row r="3" ht="15" customHeight="1" s="104">
      <c r="A3" s="116" t="inlineStr">
        <is>
          <t>($mm)</t>
        </is>
      </c>
      <c r="C3" s="149" t="inlineStr">
        <is>
          <t>Oct-26</t>
        </is>
      </c>
      <c r="D3" s="149" t="inlineStr">
        <is>
          <t>Nov-26</t>
        </is>
      </c>
      <c r="E3" s="149" t="inlineStr">
        <is>
          <t>Dec-26</t>
        </is>
      </c>
      <c r="F3" s="149" t="inlineStr">
        <is>
          <t>Jan-27</t>
        </is>
      </c>
      <c r="G3" s="149" t="inlineStr">
        <is>
          <t>Feb-27</t>
        </is>
      </c>
      <c r="H3" s="149" t="inlineStr">
        <is>
          <t>Mar-27</t>
        </is>
      </c>
      <c r="I3" s="149" t="inlineStr">
        <is>
          <t>Apr-27</t>
        </is>
      </c>
      <c r="J3" s="149" t="inlineStr">
        <is>
          <t>May-27</t>
        </is>
      </c>
      <c r="K3" s="149" t="inlineStr">
        <is>
          <t>Jun-27</t>
        </is>
      </c>
      <c r="L3" s="149" t="inlineStr">
        <is>
          <t>Jul-27</t>
        </is>
      </c>
      <c r="M3" s="149" t="inlineStr">
        <is>
          <t>Aug-27</t>
        </is>
      </c>
      <c r="N3" s="149" t="inlineStr">
        <is>
          <t>Sep-27</t>
        </is>
      </c>
      <c r="O3" s="149" t="inlineStr">
        <is>
          <t>Oct-27</t>
        </is>
      </c>
      <c r="P3" s="149" t="inlineStr">
        <is>
          <t>Nov-27</t>
        </is>
      </c>
      <c r="Q3" s="149" t="inlineStr">
        <is>
          <t>Dec-27</t>
        </is>
      </c>
      <c r="R3" s="149" t="inlineStr">
        <is>
          <t>Jan-28</t>
        </is>
      </c>
      <c r="S3" s="149" t="inlineStr">
        <is>
          <t>Feb-28</t>
        </is>
      </c>
      <c r="T3" s="149" t="inlineStr">
        <is>
          <t>Mar-28</t>
        </is>
      </c>
      <c r="U3" s="149" t="inlineStr">
        <is>
          <t>Apr-28</t>
        </is>
      </c>
      <c r="V3" s="149" t="inlineStr">
        <is>
          <t>May-28</t>
        </is>
      </c>
      <c r="W3" s="149" t="inlineStr">
        <is>
          <t>Jun-28</t>
        </is>
      </c>
      <c r="X3" s="149" t="inlineStr">
        <is>
          <t>Jul-28</t>
        </is>
      </c>
      <c r="Y3" s="149" t="inlineStr">
        <is>
          <t>Aug-28</t>
        </is>
      </c>
      <c r="Z3" s="149" t="inlineStr">
        <is>
          <t>Sep-28</t>
        </is>
      </c>
      <c r="AA3" s="149" t="inlineStr">
        <is>
          <t>Oct-28</t>
        </is>
      </c>
      <c r="AB3" s="149" t="inlineStr">
        <is>
          <t>Nov-28</t>
        </is>
      </c>
      <c r="AC3" s="149" t="inlineStr">
        <is>
          <t>Dec-28</t>
        </is>
      </c>
      <c r="AD3" s="149" t="inlineStr">
        <is>
          <t>Jan-29</t>
        </is>
      </c>
      <c r="AE3" s="149" t="inlineStr">
        <is>
          <t>Feb-29</t>
        </is>
      </c>
      <c r="AF3" s="149" t="inlineStr">
        <is>
          <t>Mar-29</t>
        </is>
      </c>
      <c r="AG3" s="149" t="inlineStr">
        <is>
          <t>Apr-29</t>
        </is>
      </c>
      <c r="AH3" s="149" t="inlineStr">
        <is>
          <t>May-29</t>
        </is>
      </c>
      <c r="AI3" s="149" t="inlineStr">
        <is>
          <t>Jun-29</t>
        </is>
      </c>
      <c r="AJ3" s="149" t="inlineStr">
        <is>
          <t>Jul-29</t>
        </is>
      </c>
      <c r="AK3" s="149" t="inlineStr">
        <is>
          <t>Aug-29</t>
        </is>
      </c>
      <c r="AL3" s="149" t="inlineStr">
        <is>
          <t>Sep-29</t>
        </is>
      </c>
      <c r="AM3" s="149" t="inlineStr">
        <is>
          <t>Oct-29</t>
        </is>
      </c>
      <c r="AN3" s="149" t="inlineStr">
        <is>
          <t>Nov-29</t>
        </is>
      </c>
      <c r="AO3" s="149" t="inlineStr">
        <is>
          <t>Dec-29</t>
        </is>
      </c>
      <c r="AP3" s="149" t="inlineStr">
        <is>
          <t>Jan-30</t>
        </is>
      </c>
      <c r="AQ3" s="149" t="inlineStr">
        <is>
          <t>Feb-30</t>
        </is>
      </c>
      <c r="AR3" s="149" t="inlineStr">
        <is>
          <t>Mar-30</t>
        </is>
      </c>
      <c r="AS3" s="149" t="inlineStr">
        <is>
          <t>Apr-30</t>
        </is>
      </c>
      <c r="AT3" s="149" t="inlineStr">
        <is>
          <t>May-30</t>
        </is>
      </c>
      <c r="AU3" s="149" t="inlineStr">
        <is>
          <t>Jun-30</t>
        </is>
      </c>
      <c r="AV3" s="149" t="inlineStr">
        <is>
          <t>Jul-30</t>
        </is>
      </c>
      <c r="AW3" s="149" t="inlineStr">
        <is>
          <t>Aug-30</t>
        </is>
      </c>
      <c r="AX3" s="149" t="inlineStr">
        <is>
          <t>Sep-30</t>
        </is>
      </c>
      <c r="AY3" s="149" t="inlineStr">
        <is>
          <t>Oct-30</t>
        </is>
      </c>
      <c r="AZ3" s="149" t="inlineStr">
        <is>
          <t>Nov-30</t>
        </is>
      </c>
      <c r="BA3" s="149" t="inlineStr">
        <is>
          <t>Dec-30</t>
        </is>
      </c>
      <c r="BB3" s="149" t="inlineStr">
        <is>
          <t>Jan-31</t>
        </is>
      </c>
      <c r="BC3" s="149" t="inlineStr">
        <is>
          <t>Feb-31</t>
        </is>
      </c>
      <c r="BD3" s="149" t="inlineStr">
        <is>
          <t>Mar-31</t>
        </is>
      </c>
      <c r="BE3" s="149" t="inlineStr">
        <is>
          <t>Apr-31</t>
        </is>
      </c>
      <c r="BF3" s="149" t="inlineStr">
        <is>
          <t>May-31</t>
        </is>
      </c>
      <c r="BG3" s="149" t="inlineStr">
        <is>
          <t>Jun-31</t>
        </is>
      </c>
      <c r="BH3" s="149" t="inlineStr">
        <is>
          <t>Jul-31</t>
        </is>
      </c>
      <c r="BI3" s="149" t="inlineStr">
        <is>
          <t>Aug-31</t>
        </is>
      </c>
      <c r="BJ3" s="149" t="inlineStr">
        <is>
          <t>Sep-31</t>
        </is>
      </c>
      <c r="BL3" s="150" t="inlineStr">
        <is>
          <t>FY1</t>
        </is>
      </c>
      <c r="BM3" s="150" t="inlineStr">
        <is>
          <t>FY2</t>
        </is>
      </c>
      <c r="BN3" s="150" t="inlineStr">
        <is>
          <t>FY3</t>
        </is>
      </c>
      <c r="BO3" s="150" t="inlineStr">
        <is>
          <t>FY4</t>
        </is>
      </c>
      <c r="BP3" s="150" t="inlineStr">
        <is>
          <t>FY5</t>
        </is>
      </c>
    </row>
    <row r="4" ht="15" customHeight="1" s="104">
      <c r="A4" s="213" t="inlineStr">
        <is>
          <t>Active (1=Yes)</t>
        </is>
      </c>
      <c r="C4" s="220">
        <f>IF(Assumptions!B58="",0,IF(IFERROR(DATEVALUE(TEXT(Assumptions!B58,"MM/DD/YYYY")),0)&lt;=DATE(2026,10,31),1,0))</f>
        <v/>
      </c>
      <c r="D4" s="220">
        <f>IF(Assumptions!B58="",0,IF(IFERROR(DATEVALUE(TEXT(Assumptions!B58,"MM/DD/YYYY")),0)&lt;=DATE(2026,11,30),1,0))</f>
        <v/>
      </c>
      <c r="E4" s="220">
        <f>IF(Assumptions!B58="",0,IF(IFERROR(DATEVALUE(TEXT(Assumptions!B58,"MM/DD/YYYY")),0)&lt;=DATE(2026,12,31),1,0))</f>
        <v/>
      </c>
      <c r="F4" s="220">
        <f>IF(Assumptions!B58="",0,IF(IFERROR(DATEVALUE(TEXT(Assumptions!B58,"MM/DD/YYYY")),0)&lt;=DATE(2027,1,31),1,0))</f>
        <v/>
      </c>
      <c r="G4" s="220">
        <f>IF(Assumptions!B58="",0,IF(IFERROR(DATEVALUE(TEXT(Assumptions!B58,"MM/DD/YYYY")),0)&lt;=DATE(2027,2,28),1,0))</f>
        <v/>
      </c>
      <c r="H4" s="220">
        <f>IF(Assumptions!B58="",0,IF(IFERROR(DATEVALUE(TEXT(Assumptions!B58,"MM/DD/YYYY")),0)&lt;=DATE(2027,3,31),1,0))</f>
        <v/>
      </c>
      <c r="I4" s="220">
        <f>IF(Assumptions!B58="",0,IF(IFERROR(DATEVALUE(TEXT(Assumptions!B58,"MM/DD/YYYY")),0)&lt;=DATE(2027,4,30),1,0))</f>
        <v/>
      </c>
      <c r="J4" s="220">
        <f>IF(Assumptions!B58="",0,IF(IFERROR(DATEVALUE(TEXT(Assumptions!B58,"MM/DD/YYYY")),0)&lt;=DATE(2027,5,31),1,0))</f>
        <v/>
      </c>
      <c r="K4" s="220">
        <f>IF(Assumptions!B58="",0,IF(IFERROR(DATEVALUE(TEXT(Assumptions!B58,"MM/DD/YYYY")),0)&lt;=DATE(2027,6,30),1,0))</f>
        <v/>
      </c>
      <c r="L4" s="220">
        <f>IF(Assumptions!B58="",0,IF(IFERROR(DATEVALUE(TEXT(Assumptions!B58,"MM/DD/YYYY")),0)&lt;=DATE(2027,7,31),1,0))</f>
        <v/>
      </c>
      <c r="M4" s="220">
        <f>IF(Assumptions!B58="",0,IF(IFERROR(DATEVALUE(TEXT(Assumptions!B58,"MM/DD/YYYY")),0)&lt;=DATE(2027,8,31),1,0))</f>
        <v/>
      </c>
      <c r="N4" s="220">
        <f>IF(Assumptions!B58="",0,IF(IFERROR(DATEVALUE(TEXT(Assumptions!B58,"MM/DD/YYYY")),0)&lt;=DATE(2027,9,30),1,0))</f>
        <v/>
      </c>
      <c r="O4" s="220">
        <f>IF(Assumptions!B58="",0,IF(IFERROR(DATEVALUE(TEXT(Assumptions!B58,"MM/DD/YYYY")),0)&lt;=DATE(2027,10,31),1,0))</f>
        <v/>
      </c>
      <c r="P4" s="220">
        <f>IF(Assumptions!B58="",0,IF(IFERROR(DATEVALUE(TEXT(Assumptions!B58,"MM/DD/YYYY")),0)&lt;=DATE(2027,11,30),1,0))</f>
        <v/>
      </c>
      <c r="Q4" s="220">
        <f>IF(Assumptions!B58="",0,IF(IFERROR(DATEVALUE(TEXT(Assumptions!B58,"MM/DD/YYYY")),0)&lt;=DATE(2027,12,31),1,0))</f>
        <v/>
      </c>
      <c r="R4" s="220">
        <f>IF(Assumptions!B58="",0,IF(IFERROR(DATEVALUE(TEXT(Assumptions!B58,"MM/DD/YYYY")),0)&lt;=DATE(2028,1,31),1,0))</f>
        <v/>
      </c>
      <c r="S4" s="220">
        <f>IF(Assumptions!B58="",0,IF(IFERROR(DATEVALUE(TEXT(Assumptions!B58,"MM/DD/YYYY")),0)&lt;=DATE(2028,2,29),1,0))</f>
        <v/>
      </c>
      <c r="T4" s="220">
        <f>IF(Assumptions!B58="",0,IF(IFERROR(DATEVALUE(TEXT(Assumptions!B58,"MM/DD/YYYY")),0)&lt;=DATE(2028,3,31),1,0))</f>
        <v/>
      </c>
      <c r="U4" s="220">
        <f>IF(Assumptions!B58="",0,IF(IFERROR(DATEVALUE(TEXT(Assumptions!B58,"MM/DD/YYYY")),0)&lt;=DATE(2028,4,30),1,0))</f>
        <v/>
      </c>
      <c r="V4" s="220">
        <f>IF(Assumptions!B58="",0,IF(IFERROR(DATEVALUE(TEXT(Assumptions!B58,"MM/DD/YYYY")),0)&lt;=DATE(2028,5,31),1,0))</f>
        <v/>
      </c>
      <c r="W4" s="220">
        <f>IF(Assumptions!B58="",0,IF(IFERROR(DATEVALUE(TEXT(Assumptions!B58,"MM/DD/YYYY")),0)&lt;=DATE(2028,6,30),1,0))</f>
        <v/>
      </c>
      <c r="X4" s="220">
        <f>IF(Assumptions!B58="",0,IF(IFERROR(DATEVALUE(TEXT(Assumptions!B58,"MM/DD/YYYY")),0)&lt;=DATE(2028,7,31),1,0))</f>
        <v/>
      </c>
      <c r="Y4" s="220">
        <f>IF(Assumptions!B58="",0,IF(IFERROR(DATEVALUE(TEXT(Assumptions!B58,"MM/DD/YYYY")),0)&lt;=DATE(2028,8,31),1,0))</f>
        <v/>
      </c>
      <c r="Z4" s="220">
        <f>IF(Assumptions!B58="",0,IF(IFERROR(DATEVALUE(TEXT(Assumptions!B58,"MM/DD/YYYY")),0)&lt;=DATE(2028,9,30),1,0))</f>
        <v/>
      </c>
      <c r="AA4" s="220">
        <f>IF(Assumptions!B58="",0,IF(IFERROR(DATEVALUE(TEXT(Assumptions!B58,"MM/DD/YYYY")),0)&lt;=DATE(2028,10,31),1,0))</f>
        <v/>
      </c>
      <c r="AB4" s="220">
        <f>IF(Assumptions!B58="",0,IF(IFERROR(DATEVALUE(TEXT(Assumptions!B58,"MM/DD/YYYY")),0)&lt;=DATE(2028,11,30),1,0))</f>
        <v/>
      </c>
      <c r="AC4" s="220">
        <f>IF(Assumptions!B58="",0,IF(IFERROR(DATEVALUE(TEXT(Assumptions!B58,"MM/DD/YYYY")),0)&lt;=DATE(2028,12,31),1,0))</f>
        <v/>
      </c>
      <c r="AD4" s="220">
        <f>IF(Assumptions!B58="",0,IF(IFERROR(DATEVALUE(TEXT(Assumptions!B58,"MM/DD/YYYY")),0)&lt;=DATE(2029,1,31),1,0))</f>
        <v/>
      </c>
      <c r="AE4" s="220">
        <f>IF(Assumptions!B58="",0,IF(IFERROR(DATEVALUE(TEXT(Assumptions!B58,"MM/DD/YYYY")),0)&lt;=DATE(2029,2,28),1,0))</f>
        <v/>
      </c>
      <c r="AF4" s="220">
        <f>IF(Assumptions!B58="",0,IF(IFERROR(DATEVALUE(TEXT(Assumptions!B58,"MM/DD/YYYY")),0)&lt;=DATE(2029,3,31),1,0))</f>
        <v/>
      </c>
      <c r="AG4" s="220">
        <f>IF(Assumptions!B58="",0,IF(IFERROR(DATEVALUE(TEXT(Assumptions!B58,"MM/DD/YYYY")),0)&lt;=DATE(2029,4,30),1,0))</f>
        <v/>
      </c>
      <c r="AH4" s="220">
        <f>IF(Assumptions!B58="",0,IF(IFERROR(DATEVALUE(TEXT(Assumptions!B58,"MM/DD/YYYY")),0)&lt;=DATE(2029,5,31),1,0))</f>
        <v/>
      </c>
      <c r="AI4" s="220">
        <f>IF(Assumptions!B58="",0,IF(IFERROR(DATEVALUE(TEXT(Assumptions!B58,"MM/DD/YYYY")),0)&lt;=DATE(2029,6,30),1,0))</f>
        <v/>
      </c>
      <c r="AJ4" s="220">
        <f>IF(Assumptions!B58="",0,IF(IFERROR(DATEVALUE(TEXT(Assumptions!B58,"MM/DD/YYYY")),0)&lt;=DATE(2029,7,31),1,0))</f>
        <v/>
      </c>
      <c r="AK4" s="220">
        <f>IF(Assumptions!B58="",0,IF(IFERROR(DATEVALUE(TEXT(Assumptions!B58,"MM/DD/YYYY")),0)&lt;=DATE(2029,8,31),1,0))</f>
        <v/>
      </c>
      <c r="AL4" s="220">
        <f>IF(Assumptions!B58="",0,IF(IFERROR(DATEVALUE(TEXT(Assumptions!B58,"MM/DD/YYYY")),0)&lt;=DATE(2029,9,30),1,0))</f>
        <v/>
      </c>
      <c r="AM4" s="220">
        <f>IF(Assumptions!B58="",0,IF(IFERROR(DATEVALUE(TEXT(Assumptions!B58,"MM/DD/YYYY")),0)&lt;=DATE(2029,10,31),1,0))</f>
        <v/>
      </c>
      <c r="AN4" s="220">
        <f>IF(Assumptions!B58="",0,IF(IFERROR(DATEVALUE(TEXT(Assumptions!B58,"MM/DD/YYYY")),0)&lt;=DATE(2029,11,30),1,0))</f>
        <v/>
      </c>
      <c r="AO4" s="220">
        <f>IF(Assumptions!B58="",0,IF(IFERROR(DATEVALUE(TEXT(Assumptions!B58,"MM/DD/YYYY")),0)&lt;=DATE(2029,12,31),1,0))</f>
        <v/>
      </c>
      <c r="AP4" s="220">
        <f>IF(Assumptions!B58="",0,IF(IFERROR(DATEVALUE(TEXT(Assumptions!B58,"MM/DD/YYYY")),0)&lt;=DATE(2030,1,31),1,0))</f>
        <v/>
      </c>
      <c r="AQ4" s="220">
        <f>IF(Assumptions!B58="",0,IF(IFERROR(DATEVALUE(TEXT(Assumptions!B58,"MM/DD/YYYY")),0)&lt;=DATE(2030,2,28),1,0))</f>
        <v/>
      </c>
      <c r="AR4" s="220">
        <f>IF(Assumptions!B58="",0,IF(IFERROR(DATEVALUE(TEXT(Assumptions!B58,"MM/DD/YYYY")),0)&lt;=DATE(2030,3,31),1,0))</f>
        <v/>
      </c>
      <c r="AS4" s="220">
        <f>IF(Assumptions!B58="",0,IF(IFERROR(DATEVALUE(TEXT(Assumptions!B58,"MM/DD/YYYY")),0)&lt;=DATE(2030,4,30),1,0))</f>
        <v/>
      </c>
      <c r="AT4" s="220">
        <f>IF(Assumptions!B58="",0,IF(IFERROR(DATEVALUE(TEXT(Assumptions!B58,"MM/DD/YYYY")),0)&lt;=DATE(2030,5,31),1,0))</f>
        <v/>
      </c>
      <c r="AU4" s="220">
        <f>IF(Assumptions!B58="",0,IF(IFERROR(DATEVALUE(TEXT(Assumptions!B58,"MM/DD/YYYY")),0)&lt;=DATE(2030,6,30),1,0))</f>
        <v/>
      </c>
      <c r="AV4" s="220">
        <f>IF(Assumptions!B58="",0,IF(IFERROR(DATEVALUE(TEXT(Assumptions!B58,"MM/DD/YYYY")),0)&lt;=DATE(2030,7,31),1,0))</f>
        <v/>
      </c>
      <c r="AW4" s="220">
        <f>IF(Assumptions!B58="",0,IF(IFERROR(DATEVALUE(TEXT(Assumptions!B58,"MM/DD/YYYY")),0)&lt;=DATE(2030,8,31),1,0))</f>
        <v/>
      </c>
      <c r="AX4" s="220">
        <f>IF(Assumptions!B58="",0,IF(IFERROR(DATEVALUE(TEXT(Assumptions!B58,"MM/DD/YYYY")),0)&lt;=DATE(2030,9,30),1,0))</f>
        <v/>
      </c>
      <c r="AY4" s="220">
        <f>IF(Assumptions!B58="",0,IF(IFERROR(DATEVALUE(TEXT(Assumptions!B58,"MM/DD/YYYY")),0)&lt;=DATE(2030,10,31),1,0))</f>
        <v/>
      </c>
      <c r="AZ4" s="220">
        <f>IF(Assumptions!B58="",0,IF(IFERROR(DATEVALUE(TEXT(Assumptions!B58,"MM/DD/YYYY")),0)&lt;=DATE(2030,11,30),1,0))</f>
        <v/>
      </c>
      <c r="BA4" s="220">
        <f>IF(Assumptions!B58="",0,IF(IFERROR(DATEVALUE(TEXT(Assumptions!B58,"MM/DD/YYYY")),0)&lt;=DATE(2030,12,31),1,0))</f>
        <v/>
      </c>
      <c r="BB4" s="220">
        <f>IF(Assumptions!B58="",0,IF(IFERROR(DATEVALUE(TEXT(Assumptions!B58,"MM/DD/YYYY")),0)&lt;=DATE(2031,1,31),1,0))</f>
        <v/>
      </c>
      <c r="BC4" s="220">
        <f>IF(Assumptions!B58="",0,IF(IFERROR(DATEVALUE(TEXT(Assumptions!B58,"MM/DD/YYYY")),0)&lt;=DATE(2031,2,28),1,0))</f>
        <v/>
      </c>
      <c r="BD4" s="220">
        <f>IF(Assumptions!B58="",0,IF(IFERROR(DATEVALUE(TEXT(Assumptions!B58,"MM/DD/YYYY")),0)&lt;=DATE(2031,3,31),1,0))</f>
        <v/>
      </c>
      <c r="BE4" s="220">
        <f>IF(Assumptions!B58="",0,IF(IFERROR(DATEVALUE(TEXT(Assumptions!B58,"MM/DD/YYYY")),0)&lt;=DATE(2031,4,30),1,0))</f>
        <v/>
      </c>
      <c r="BF4" s="220">
        <f>IF(Assumptions!B58="",0,IF(IFERROR(DATEVALUE(TEXT(Assumptions!B58,"MM/DD/YYYY")),0)&lt;=DATE(2031,5,31),1,0))</f>
        <v/>
      </c>
      <c r="BG4" s="220">
        <f>IF(Assumptions!B58="",0,IF(IFERROR(DATEVALUE(TEXT(Assumptions!B58,"MM/DD/YYYY")),0)&lt;=DATE(2031,6,30),1,0))</f>
        <v/>
      </c>
      <c r="BH4" s="220">
        <f>IF(Assumptions!B58="",0,IF(IFERROR(DATEVALUE(TEXT(Assumptions!B58,"MM/DD/YYYY")),0)&lt;=DATE(2031,7,31),1,0))</f>
        <v/>
      </c>
      <c r="BI4" s="220">
        <f>IF(Assumptions!B58="",0,IF(IFERROR(DATEVALUE(TEXT(Assumptions!B58,"MM/DD/YYYY")),0)&lt;=DATE(2031,8,31),1,0))</f>
        <v/>
      </c>
      <c r="BJ4" s="220">
        <f>IF(Assumptions!B58="",0,IF(IFERROR(DATEVALUE(TEXT(Assumptions!B58,"MM/DD/YYYY")),0)&lt;=DATE(2031,9,30),1,0))</f>
        <v/>
      </c>
    </row>
    <row r="5" ht="15" customHeight="1" s="104">
      <c r="A5" s="106" t="inlineStr">
        <is>
          <t>REVENUE</t>
        </is>
      </c>
    </row>
    <row r="6" ht="15" customHeight="1" s="104">
      <c r="A6" s="116" t="inlineStr">
        <is>
          <t>Monthly Revenue</t>
        </is>
      </c>
      <c r="C6" s="151">
        <f>IF(C4=0,0,(Assumptions!C58/12))</f>
        <v/>
      </c>
      <c r="D6" s="151">
        <f>IF(D4=0,0,(Assumptions!C58/12)*POWER(1+Assumptions!B17,1/12))</f>
        <v/>
      </c>
      <c r="E6" s="151">
        <f>IF(E4=0,0,(Assumptions!C58/12)*POWER(1+Assumptions!B17,2/12))</f>
        <v/>
      </c>
      <c r="F6" s="151">
        <f>IF(F4=0,0,(Assumptions!C58/12)*POWER(1+Assumptions!B17,3/12))</f>
        <v/>
      </c>
      <c r="G6" s="151">
        <f>IF(G4=0,0,(Assumptions!C58/12)*POWER(1+Assumptions!B17,4/12))</f>
        <v/>
      </c>
      <c r="H6" s="151">
        <f>IF(H4=0,0,(Assumptions!C58/12)*POWER(1+Assumptions!B17,5/12))</f>
        <v/>
      </c>
      <c r="I6" s="151">
        <f>IF(I4=0,0,(Assumptions!C58/12)*POWER(1+Assumptions!B17,6/12))</f>
        <v/>
      </c>
      <c r="J6" s="151">
        <f>IF(J4=0,0,(Assumptions!C58/12)*POWER(1+Assumptions!B17,7/12))</f>
        <v/>
      </c>
      <c r="K6" s="151">
        <f>IF(K4=0,0,(Assumptions!C58/12)*POWER(1+Assumptions!B17,8/12))</f>
        <v/>
      </c>
      <c r="L6" s="151">
        <f>IF(L4=0,0,(Assumptions!C58/12)*POWER(1+Assumptions!B17,9/12))</f>
        <v/>
      </c>
      <c r="M6" s="151">
        <f>IF(M4=0,0,(Assumptions!C58/12)*POWER(1+Assumptions!B17,10/12))</f>
        <v/>
      </c>
      <c r="N6" s="151">
        <f>IF(N4=0,0,(Assumptions!C58/12)*POWER(1+Assumptions!B17,11/12))</f>
        <v/>
      </c>
      <c r="O6" s="151">
        <f>IF(O4=0,0,(Assumptions!C58*(1+Assumptions!B17)/12))</f>
        <v/>
      </c>
      <c r="P6" s="151">
        <f>IF(P4=0,0,(Assumptions!C58*(1+Assumptions!B17)/12)*POWER(1+Assumptions!B18,1/12))</f>
        <v/>
      </c>
      <c r="Q6" s="151">
        <f>IF(Q4=0,0,(Assumptions!C58*(1+Assumptions!B17)/12)*POWER(1+Assumptions!B18,2/12))</f>
        <v/>
      </c>
      <c r="R6" s="151">
        <f>IF(R4=0,0,(Assumptions!C58*(1+Assumptions!B17)/12)*POWER(1+Assumptions!B18,3/12))</f>
        <v/>
      </c>
      <c r="S6" s="151">
        <f>IF(S4=0,0,(Assumptions!C58*(1+Assumptions!B17)/12)*POWER(1+Assumptions!B18,4/12))</f>
        <v/>
      </c>
      <c r="T6" s="151">
        <f>IF(T4=0,0,(Assumptions!C58*(1+Assumptions!B17)/12)*POWER(1+Assumptions!B18,5/12))</f>
        <v/>
      </c>
      <c r="U6" s="151">
        <f>IF(U4=0,0,(Assumptions!C58*(1+Assumptions!B17)/12)*POWER(1+Assumptions!B18,6/12))</f>
        <v/>
      </c>
      <c r="V6" s="151">
        <f>IF(V4=0,0,(Assumptions!C58*(1+Assumptions!B17)/12)*POWER(1+Assumptions!B18,7/12))</f>
        <v/>
      </c>
      <c r="W6" s="151">
        <f>IF(W4=0,0,(Assumptions!C58*(1+Assumptions!B17)/12)*POWER(1+Assumptions!B18,8/12))</f>
        <v/>
      </c>
      <c r="X6" s="151">
        <f>IF(X4=0,0,(Assumptions!C58*(1+Assumptions!B17)/12)*POWER(1+Assumptions!B18,9/12))</f>
        <v/>
      </c>
      <c r="Y6" s="151">
        <f>IF(Y4=0,0,(Assumptions!C58*(1+Assumptions!B17)/12)*POWER(1+Assumptions!B18,10/12))</f>
        <v/>
      </c>
      <c r="Z6" s="151">
        <f>IF(Z4=0,0,(Assumptions!C58*(1+Assumptions!B17)/12)*POWER(1+Assumptions!B18,11/12))</f>
        <v/>
      </c>
      <c r="AA6" s="151">
        <f>IF(AA4=0,0,(Assumptions!C58*(1+Assumptions!B17)*(1+Assumptions!B18)/12))</f>
        <v/>
      </c>
      <c r="AB6" s="151">
        <f>IF(AB4=0,0,(Assumptions!C58*(1+Assumptions!B17)*(1+Assumptions!B18)/12)*POWER(1+Assumptions!B19,1/12))</f>
        <v/>
      </c>
      <c r="AC6" s="151">
        <f>IF(AC4=0,0,(Assumptions!C58*(1+Assumptions!B17)*(1+Assumptions!B18)/12)*POWER(1+Assumptions!B19,2/12))</f>
        <v/>
      </c>
      <c r="AD6" s="151">
        <f>IF(AD4=0,0,(Assumptions!C58*(1+Assumptions!B17)*(1+Assumptions!B18)/12)*POWER(1+Assumptions!B19,3/12))</f>
        <v/>
      </c>
      <c r="AE6" s="151">
        <f>IF(AE4=0,0,(Assumptions!C58*(1+Assumptions!B17)*(1+Assumptions!B18)/12)*POWER(1+Assumptions!B19,4/12))</f>
        <v/>
      </c>
      <c r="AF6" s="151">
        <f>IF(AF4=0,0,(Assumptions!C58*(1+Assumptions!B17)*(1+Assumptions!B18)/12)*POWER(1+Assumptions!B19,5/12))</f>
        <v/>
      </c>
      <c r="AG6" s="151">
        <f>IF(AG4=0,0,(Assumptions!C58*(1+Assumptions!B17)*(1+Assumptions!B18)/12)*POWER(1+Assumptions!B19,6/12))</f>
        <v/>
      </c>
      <c r="AH6" s="151">
        <f>IF(AH4=0,0,(Assumptions!C58*(1+Assumptions!B17)*(1+Assumptions!B18)/12)*POWER(1+Assumptions!B19,7/12))</f>
        <v/>
      </c>
      <c r="AI6" s="151">
        <f>IF(AI4=0,0,(Assumptions!C58*(1+Assumptions!B17)*(1+Assumptions!B18)/12)*POWER(1+Assumptions!B19,8/12))</f>
        <v/>
      </c>
      <c r="AJ6" s="151">
        <f>IF(AJ4=0,0,(Assumptions!C58*(1+Assumptions!B17)*(1+Assumptions!B18)/12)*POWER(1+Assumptions!B19,9/12))</f>
        <v/>
      </c>
      <c r="AK6" s="151">
        <f>IF(AK4=0,0,(Assumptions!C58*(1+Assumptions!B17)*(1+Assumptions!B18)/12)*POWER(1+Assumptions!B19,10/12))</f>
        <v/>
      </c>
      <c r="AL6" s="151">
        <f>IF(AL4=0,0,(Assumptions!C58*(1+Assumptions!B17)*(1+Assumptions!B18)/12)*POWER(1+Assumptions!B19,11/12))</f>
        <v/>
      </c>
      <c r="AM6" s="151">
        <f>IF(AM4=0,0,(Assumptions!C58*(1+Assumptions!B17)*(1+Assumptions!B18)*(1+Assumptions!B19)/12))</f>
        <v/>
      </c>
      <c r="AN6" s="151">
        <f>IF(AN4=0,0,(Assumptions!C58*(1+Assumptions!B17)*(1+Assumptions!B18)*(1+Assumptions!B19)/12)*POWER(1+Assumptions!B20,1/12))</f>
        <v/>
      </c>
      <c r="AO6" s="151">
        <f>IF(AO4=0,0,(Assumptions!C58*(1+Assumptions!B17)*(1+Assumptions!B18)*(1+Assumptions!B19)/12)*POWER(1+Assumptions!B20,2/12))</f>
        <v/>
      </c>
      <c r="AP6" s="151">
        <f>IF(AP4=0,0,(Assumptions!C58*(1+Assumptions!B17)*(1+Assumptions!B18)*(1+Assumptions!B19)/12)*POWER(1+Assumptions!B20,3/12))</f>
        <v/>
      </c>
      <c r="AQ6" s="151">
        <f>IF(AQ4=0,0,(Assumptions!C58*(1+Assumptions!B17)*(1+Assumptions!B18)*(1+Assumptions!B19)/12)*POWER(1+Assumptions!B20,4/12))</f>
        <v/>
      </c>
      <c r="AR6" s="151">
        <f>IF(AR4=0,0,(Assumptions!C58*(1+Assumptions!B17)*(1+Assumptions!B18)*(1+Assumptions!B19)/12)*POWER(1+Assumptions!B20,5/12))</f>
        <v/>
      </c>
      <c r="AS6" s="151">
        <f>IF(AS4=0,0,(Assumptions!C58*(1+Assumptions!B17)*(1+Assumptions!B18)*(1+Assumptions!B19)/12)*POWER(1+Assumptions!B20,6/12))</f>
        <v/>
      </c>
      <c r="AT6" s="151">
        <f>IF(AT4=0,0,(Assumptions!C58*(1+Assumptions!B17)*(1+Assumptions!B18)*(1+Assumptions!B19)/12)*POWER(1+Assumptions!B20,7/12))</f>
        <v/>
      </c>
      <c r="AU6" s="151">
        <f>IF(AU4=0,0,(Assumptions!C58*(1+Assumptions!B17)*(1+Assumptions!B18)*(1+Assumptions!B19)/12)*POWER(1+Assumptions!B20,8/12))</f>
        <v/>
      </c>
      <c r="AV6" s="151">
        <f>IF(AV4=0,0,(Assumptions!C58*(1+Assumptions!B17)*(1+Assumptions!B18)*(1+Assumptions!B19)/12)*POWER(1+Assumptions!B20,9/12))</f>
        <v/>
      </c>
      <c r="AW6" s="151">
        <f>IF(AW4=0,0,(Assumptions!C58*(1+Assumptions!B17)*(1+Assumptions!B18)*(1+Assumptions!B19)/12)*POWER(1+Assumptions!B20,10/12))</f>
        <v/>
      </c>
      <c r="AX6" s="151">
        <f>IF(AX4=0,0,(Assumptions!C58*(1+Assumptions!B17)*(1+Assumptions!B18)*(1+Assumptions!B19)/12)*POWER(1+Assumptions!B20,11/12))</f>
        <v/>
      </c>
      <c r="AY6" s="151">
        <f>IF(AY4=0,0,(Assumptions!C58*(1+Assumptions!B17)*(1+Assumptions!B18)*(1+Assumptions!B19)*(1+Assumptions!B20)/12))</f>
        <v/>
      </c>
      <c r="AZ6" s="151">
        <f>IF(AZ4=0,0,(Assumptions!C58*(1+Assumptions!B17)*(1+Assumptions!B18)*(1+Assumptions!B19)*(1+Assumptions!B20)/12)*POWER(1+Assumptions!B21,1/12))</f>
        <v/>
      </c>
      <c r="BA6" s="151">
        <f>IF(BA4=0,0,(Assumptions!C58*(1+Assumptions!B17)*(1+Assumptions!B18)*(1+Assumptions!B19)*(1+Assumptions!B20)/12)*POWER(1+Assumptions!B21,2/12))</f>
        <v/>
      </c>
      <c r="BB6" s="151">
        <f>IF(BB4=0,0,(Assumptions!C58*(1+Assumptions!B17)*(1+Assumptions!B18)*(1+Assumptions!B19)*(1+Assumptions!B20)/12)*POWER(1+Assumptions!B21,3/12))</f>
        <v/>
      </c>
      <c r="BC6" s="151">
        <f>IF(BC4=0,0,(Assumptions!C58*(1+Assumptions!B17)*(1+Assumptions!B18)*(1+Assumptions!B19)*(1+Assumptions!B20)/12)*POWER(1+Assumptions!B21,4/12))</f>
        <v/>
      </c>
      <c r="BD6" s="151">
        <f>IF(BD4=0,0,(Assumptions!C58*(1+Assumptions!B17)*(1+Assumptions!B18)*(1+Assumptions!B19)*(1+Assumptions!B20)/12)*POWER(1+Assumptions!B21,5/12))</f>
        <v/>
      </c>
      <c r="BE6" s="151">
        <f>IF(BE4=0,0,(Assumptions!C58*(1+Assumptions!B17)*(1+Assumptions!B18)*(1+Assumptions!B19)*(1+Assumptions!B20)/12)*POWER(1+Assumptions!B21,6/12))</f>
        <v/>
      </c>
      <c r="BF6" s="151">
        <f>IF(BF4=0,0,(Assumptions!C58*(1+Assumptions!B17)*(1+Assumptions!B18)*(1+Assumptions!B19)*(1+Assumptions!B20)/12)*POWER(1+Assumptions!B21,7/12))</f>
        <v/>
      </c>
      <c r="BG6" s="151">
        <f>IF(BG4=0,0,(Assumptions!C58*(1+Assumptions!B17)*(1+Assumptions!B18)*(1+Assumptions!B19)*(1+Assumptions!B20)/12)*POWER(1+Assumptions!B21,8/12))</f>
        <v/>
      </c>
      <c r="BH6" s="151">
        <f>IF(BH4=0,0,(Assumptions!C58*(1+Assumptions!B17)*(1+Assumptions!B18)*(1+Assumptions!B19)*(1+Assumptions!B20)/12)*POWER(1+Assumptions!B21,9/12))</f>
        <v/>
      </c>
      <c r="BI6" s="151">
        <f>IF(BI4=0,0,(Assumptions!C58*(1+Assumptions!B17)*(1+Assumptions!B18)*(1+Assumptions!B19)*(1+Assumptions!B20)/12)*POWER(1+Assumptions!B21,10/12))</f>
        <v/>
      </c>
      <c r="BJ6" s="151">
        <f>IF(BJ4=0,0,(Assumptions!C58*(1+Assumptions!B17)*(1+Assumptions!B18)*(1+Assumptions!B19)*(1+Assumptions!B20)/12)*POWER(1+Assumptions!B21,11/12))</f>
        <v/>
      </c>
      <c r="BL6" s="152">
        <f>C6+D6+E6+F6+G6+H6+I6+J6+K6+L6+M6+N6</f>
        <v/>
      </c>
      <c r="BM6" s="152">
        <f>O6+P6+Q6+R6+S6+T6+U6+V6+W6+X6+Y6+Z6</f>
        <v/>
      </c>
      <c r="BN6" s="152">
        <f>AA6+AB6+AC6+AD6+AE6+AF6+AG6+AH6+AI6+AJ6+AK6+AL6</f>
        <v/>
      </c>
      <c r="BO6" s="152">
        <f>AM6+AN6+AO6+AP6+AQ6+AR6+AS6+AT6+AU6+AV6+AW6+AX6</f>
        <v/>
      </c>
      <c r="BP6" s="152">
        <f>AY6+AZ6+BA6+BB6+BC6+BD6+BE6+BF6+BG6+BH6+BI6+BJ6</f>
        <v/>
      </c>
    </row>
    <row r="7" ht="15" customHeight="1" s="104">
      <c r="A7" s="106" t="inlineStr">
        <is>
          <t>OPERATING EXPENSES</t>
        </is>
      </c>
    </row>
    <row r="8" ht="15" customHeight="1" s="104">
      <c r="A8" s="107" t="inlineStr">
        <is>
          <t>Attorney Compensation</t>
        </is>
      </c>
      <c r="C8" s="156">
        <f>C6*(Assumptions!B24+Assumptions!B25*0)</f>
        <v/>
      </c>
      <c r="D8" s="156">
        <f>D6*(Assumptions!B24+Assumptions!B25*0)</f>
        <v/>
      </c>
      <c r="E8" s="156">
        <f>E6*(Assumptions!B24+Assumptions!B25*0)</f>
        <v/>
      </c>
      <c r="F8" s="156">
        <f>F6*(Assumptions!B24+Assumptions!B25*0)</f>
        <v/>
      </c>
      <c r="G8" s="156">
        <f>G6*(Assumptions!B24+Assumptions!B25*0)</f>
        <v/>
      </c>
      <c r="H8" s="156">
        <f>H6*(Assumptions!B24+Assumptions!B25*0)</f>
        <v/>
      </c>
      <c r="I8" s="156">
        <f>I6*(Assumptions!B24+Assumptions!B25*0)</f>
        <v/>
      </c>
      <c r="J8" s="156">
        <f>J6*(Assumptions!B24+Assumptions!B25*0)</f>
        <v/>
      </c>
      <c r="K8" s="156">
        <f>K6*(Assumptions!B24+Assumptions!B25*0)</f>
        <v/>
      </c>
      <c r="L8" s="156">
        <f>L6*(Assumptions!B24+Assumptions!B25*0)</f>
        <v/>
      </c>
      <c r="M8" s="156">
        <f>M6*(Assumptions!B24+Assumptions!B25*0)</f>
        <v/>
      </c>
      <c r="N8" s="156">
        <f>N6*(Assumptions!B24+Assumptions!B25*0)</f>
        <v/>
      </c>
      <c r="O8" s="156">
        <f>O6*(Assumptions!B24+Assumptions!B25*1)</f>
        <v/>
      </c>
      <c r="P8" s="156">
        <f>P6*(Assumptions!B24+Assumptions!B25*1)</f>
        <v/>
      </c>
      <c r="Q8" s="156">
        <f>Q6*(Assumptions!B24+Assumptions!B25*1)</f>
        <v/>
      </c>
      <c r="R8" s="156">
        <f>R6*(Assumptions!B24+Assumptions!B25*1)</f>
        <v/>
      </c>
      <c r="S8" s="156">
        <f>S6*(Assumptions!B24+Assumptions!B25*1)</f>
        <v/>
      </c>
      <c r="T8" s="156">
        <f>T6*(Assumptions!B24+Assumptions!B25*1)</f>
        <v/>
      </c>
      <c r="U8" s="156">
        <f>U6*(Assumptions!B24+Assumptions!B25*1)</f>
        <v/>
      </c>
      <c r="V8" s="156">
        <f>V6*(Assumptions!B24+Assumptions!B25*1)</f>
        <v/>
      </c>
      <c r="W8" s="156">
        <f>W6*(Assumptions!B24+Assumptions!B25*1)</f>
        <v/>
      </c>
      <c r="X8" s="156">
        <f>X6*(Assumptions!B24+Assumptions!B25*1)</f>
        <v/>
      </c>
      <c r="Y8" s="156">
        <f>Y6*(Assumptions!B24+Assumptions!B25*1)</f>
        <v/>
      </c>
      <c r="Z8" s="156">
        <f>Z6*(Assumptions!B24+Assumptions!B25*1)</f>
        <v/>
      </c>
      <c r="AA8" s="156">
        <f>AA6*(Assumptions!B24+Assumptions!B25*2)</f>
        <v/>
      </c>
      <c r="AB8" s="156">
        <f>AB6*(Assumptions!B24+Assumptions!B25*2)</f>
        <v/>
      </c>
      <c r="AC8" s="156">
        <f>AC6*(Assumptions!B24+Assumptions!B25*2)</f>
        <v/>
      </c>
      <c r="AD8" s="156">
        <f>AD6*(Assumptions!B24+Assumptions!B25*2)</f>
        <v/>
      </c>
      <c r="AE8" s="156">
        <f>AE6*(Assumptions!B24+Assumptions!B25*2)</f>
        <v/>
      </c>
      <c r="AF8" s="156">
        <f>AF6*(Assumptions!B24+Assumptions!B25*2)</f>
        <v/>
      </c>
      <c r="AG8" s="156">
        <f>AG6*(Assumptions!B24+Assumptions!B25*2)</f>
        <v/>
      </c>
      <c r="AH8" s="156">
        <f>AH6*(Assumptions!B24+Assumptions!B25*2)</f>
        <v/>
      </c>
      <c r="AI8" s="156">
        <f>AI6*(Assumptions!B24+Assumptions!B25*2)</f>
        <v/>
      </c>
      <c r="AJ8" s="156">
        <f>AJ6*(Assumptions!B24+Assumptions!B25*2)</f>
        <v/>
      </c>
      <c r="AK8" s="156">
        <f>AK6*(Assumptions!B24+Assumptions!B25*2)</f>
        <v/>
      </c>
      <c r="AL8" s="156">
        <f>AL6*(Assumptions!B24+Assumptions!B25*2)</f>
        <v/>
      </c>
      <c r="AM8" s="156">
        <f>AM6*(Assumptions!B24+Assumptions!B25*3)</f>
        <v/>
      </c>
      <c r="AN8" s="156">
        <f>AN6*(Assumptions!B24+Assumptions!B25*3)</f>
        <v/>
      </c>
      <c r="AO8" s="156">
        <f>AO6*(Assumptions!B24+Assumptions!B25*3)</f>
        <v/>
      </c>
      <c r="AP8" s="156">
        <f>AP6*(Assumptions!B24+Assumptions!B25*3)</f>
        <v/>
      </c>
      <c r="AQ8" s="156">
        <f>AQ6*(Assumptions!B24+Assumptions!B25*3)</f>
        <v/>
      </c>
      <c r="AR8" s="156">
        <f>AR6*(Assumptions!B24+Assumptions!B25*3)</f>
        <v/>
      </c>
      <c r="AS8" s="156">
        <f>AS6*(Assumptions!B24+Assumptions!B25*3)</f>
        <v/>
      </c>
      <c r="AT8" s="156">
        <f>AT6*(Assumptions!B24+Assumptions!B25*3)</f>
        <v/>
      </c>
      <c r="AU8" s="156">
        <f>AU6*(Assumptions!B24+Assumptions!B25*3)</f>
        <v/>
      </c>
      <c r="AV8" s="156">
        <f>AV6*(Assumptions!B24+Assumptions!B25*3)</f>
        <v/>
      </c>
      <c r="AW8" s="156">
        <f>AW6*(Assumptions!B24+Assumptions!B25*3)</f>
        <v/>
      </c>
      <c r="AX8" s="156">
        <f>AX6*(Assumptions!B24+Assumptions!B25*3)</f>
        <v/>
      </c>
      <c r="AY8" s="156">
        <f>AY6*(Assumptions!B24+Assumptions!B25*4)</f>
        <v/>
      </c>
      <c r="AZ8" s="156">
        <f>AZ6*(Assumptions!B24+Assumptions!B25*4)</f>
        <v/>
      </c>
      <c r="BA8" s="156">
        <f>BA6*(Assumptions!B24+Assumptions!B25*4)</f>
        <v/>
      </c>
      <c r="BB8" s="156">
        <f>BB6*(Assumptions!B24+Assumptions!B25*4)</f>
        <v/>
      </c>
      <c r="BC8" s="156">
        <f>BC6*(Assumptions!B24+Assumptions!B25*4)</f>
        <v/>
      </c>
      <c r="BD8" s="156">
        <f>BD6*(Assumptions!B24+Assumptions!B25*4)</f>
        <v/>
      </c>
      <c r="BE8" s="156">
        <f>BE6*(Assumptions!B24+Assumptions!B25*4)</f>
        <v/>
      </c>
      <c r="BF8" s="156">
        <f>BF6*(Assumptions!B24+Assumptions!B25*4)</f>
        <v/>
      </c>
      <c r="BG8" s="156">
        <f>BG6*(Assumptions!B24+Assumptions!B25*4)</f>
        <v/>
      </c>
      <c r="BH8" s="156">
        <f>BH6*(Assumptions!B24+Assumptions!B25*4)</f>
        <v/>
      </c>
      <c r="BI8" s="156">
        <f>BI6*(Assumptions!B24+Assumptions!B25*4)</f>
        <v/>
      </c>
      <c r="BJ8" s="156">
        <f>BJ6*(Assumptions!B24+Assumptions!B25*4)</f>
        <v/>
      </c>
      <c r="BL8" s="157">
        <f>C8+D8+E8+F8+G8+H8+I8+J8+K8+L8+M8+N8</f>
        <v/>
      </c>
      <c r="BM8" s="157">
        <f>O8+P8+Q8+R8+S8+T8+U8+V8+W8+X8+Y8+Z8</f>
        <v/>
      </c>
      <c r="BN8" s="157">
        <f>AA8+AB8+AC8+AD8+AE8+AF8+AG8+AH8+AI8+AJ8+AK8+AL8</f>
        <v/>
      </c>
      <c r="BO8" s="157">
        <f>AM8+AN8+AO8+AP8+AQ8+AR8+AS8+AT8+AU8+AV8+AW8+AX8</f>
        <v/>
      </c>
      <c r="BP8" s="157">
        <f>AY8+AZ8+BA8+BB8+BC8+BD8+BE8+BF8+BG8+BH8+BI8+BJ8</f>
        <v/>
      </c>
    </row>
    <row r="9" ht="15" customHeight="1" s="104">
      <c r="A9" s="215" t="inlineStr">
        <is>
          <t xml:space="preserve">    % of Revenue</t>
        </is>
      </c>
      <c r="C9" s="216">
        <f>IF(C6=0,0,C8/C6)</f>
        <v/>
      </c>
      <c r="D9" s="216">
        <f>IF(D6=0,0,D8/D6)</f>
        <v/>
      </c>
      <c r="E9" s="216">
        <f>IF(E6=0,0,E8/E6)</f>
        <v/>
      </c>
      <c r="F9" s="216">
        <f>IF(F6=0,0,F8/F6)</f>
        <v/>
      </c>
      <c r="G9" s="216">
        <f>IF(G6=0,0,G8/G6)</f>
        <v/>
      </c>
      <c r="H9" s="216">
        <f>IF(H6=0,0,H8/H6)</f>
        <v/>
      </c>
      <c r="I9" s="216">
        <f>IF(I6=0,0,I8/I6)</f>
        <v/>
      </c>
      <c r="J9" s="216">
        <f>IF(J6=0,0,J8/J6)</f>
        <v/>
      </c>
      <c r="K9" s="216">
        <f>IF(K6=0,0,K8/K6)</f>
        <v/>
      </c>
      <c r="L9" s="216">
        <f>IF(L6=0,0,L8/L6)</f>
        <v/>
      </c>
      <c r="M9" s="216">
        <f>IF(M6=0,0,M8/M6)</f>
        <v/>
      </c>
      <c r="N9" s="216">
        <f>IF(N6=0,0,N8/N6)</f>
        <v/>
      </c>
      <c r="O9" s="216">
        <f>IF(O6=0,0,O8/O6)</f>
        <v/>
      </c>
      <c r="P9" s="216">
        <f>IF(P6=0,0,P8/P6)</f>
        <v/>
      </c>
      <c r="Q9" s="216">
        <f>IF(Q6=0,0,Q8/Q6)</f>
        <v/>
      </c>
      <c r="R9" s="216">
        <f>IF(R6=0,0,R8/R6)</f>
        <v/>
      </c>
      <c r="S9" s="216">
        <f>IF(S6=0,0,S8/S6)</f>
        <v/>
      </c>
      <c r="T9" s="216">
        <f>IF(T6=0,0,T8/T6)</f>
        <v/>
      </c>
      <c r="U9" s="216">
        <f>IF(U6=0,0,U8/U6)</f>
        <v/>
      </c>
      <c r="V9" s="216">
        <f>IF(V6=0,0,V8/V6)</f>
        <v/>
      </c>
      <c r="W9" s="216">
        <f>IF(W6=0,0,W8/W6)</f>
        <v/>
      </c>
      <c r="X9" s="216">
        <f>IF(X6=0,0,X8/X6)</f>
        <v/>
      </c>
      <c r="Y9" s="216">
        <f>IF(Y6=0,0,Y8/Y6)</f>
        <v/>
      </c>
      <c r="Z9" s="216">
        <f>IF(Z6=0,0,Z8/Z6)</f>
        <v/>
      </c>
      <c r="AA9" s="216">
        <f>IF(AA6=0,0,AA8/AA6)</f>
        <v/>
      </c>
      <c r="AB9" s="216">
        <f>IF(AB6=0,0,AB8/AB6)</f>
        <v/>
      </c>
      <c r="AC9" s="216">
        <f>IF(AC6=0,0,AC8/AC6)</f>
        <v/>
      </c>
      <c r="AD9" s="216">
        <f>IF(AD6=0,0,AD8/AD6)</f>
        <v/>
      </c>
      <c r="AE9" s="216">
        <f>IF(AE6=0,0,AE8/AE6)</f>
        <v/>
      </c>
      <c r="AF9" s="216">
        <f>IF(AF6=0,0,AF8/AF6)</f>
        <v/>
      </c>
      <c r="AG9" s="216">
        <f>IF(AG6=0,0,AG8/AG6)</f>
        <v/>
      </c>
      <c r="AH9" s="216">
        <f>IF(AH6=0,0,AH8/AH6)</f>
        <v/>
      </c>
      <c r="AI9" s="216">
        <f>IF(AI6=0,0,AI8/AI6)</f>
        <v/>
      </c>
      <c r="AJ9" s="216">
        <f>IF(AJ6=0,0,AJ8/AJ6)</f>
        <v/>
      </c>
      <c r="AK9" s="216">
        <f>IF(AK6=0,0,AK8/AK6)</f>
        <v/>
      </c>
      <c r="AL9" s="216">
        <f>IF(AL6=0,0,AL8/AL6)</f>
        <v/>
      </c>
      <c r="AM9" s="216">
        <f>IF(AM6=0,0,AM8/AM6)</f>
        <v/>
      </c>
      <c r="AN9" s="216">
        <f>IF(AN6=0,0,AN8/AN6)</f>
        <v/>
      </c>
      <c r="AO9" s="216">
        <f>IF(AO6=0,0,AO8/AO6)</f>
        <v/>
      </c>
      <c r="AP9" s="216">
        <f>IF(AP6=0,0,AP8/AP6)</f>
        <v/>
      </c>
      <c r="AQ9" s="216">
        <f>IF(AQ6=0,0,AQ8/AQ6)</f>
        <v/>
      </c>
      <c r="AR9" s="216">
        <f>IF(AR6=0,0,AR8/AR6)</f>
        <v/>
      </c>
      <c r="AS9" s="216">
        <f>IF(AS6=0,0,AS8/AS6)</f>
        <v/>
      </c>
      <c r="AT9" s="216">
        <f>IF(AT6=0,0,AT8/AT6)</f>
        <v/>
      </c>
      <c r="AU9" s="216">
        <f>IF(AU6=0,0,AU8/AU6)</f>
        <v/>
      </c>
      <c r="AV9" s="216">
        <f>IF(AV6=0,0,AV8/AV6)</f>
        <v/>
      </c>
      <c r="AW9" s="216">
        <f>IF(AW6=0,0,AW8/AW6)</f>
        <v/>
      </c>
      <c r="AX9" s="216">
        <f>IF(AX6=0,0,AX8/AX6)</f>
        <v/>
      </c>
      <c r="AY9" s="216">
        <f>IF(AY6=0,0,AY8/AY6)</f>
        <v/>
      </c>
      <c r="AZ9" s="216">
        <f>IF(AZ6=0,0,AZ8/AZ6)</f>
        <v/>
      </c>
      <c r="BA9" s="216">
        <f>IF(BA6=0,0,BA8/BA6)</f>
        <v/>
      </c>
      <c r="BB9" s="216">
        <f>IF(BB6=0,0,BB8/BB6)</f>
        <v/>
      </c>
      <c r="BC9" s="216">
        <f>IF(BC6=0,0,BC8/BC6)</f>
        <v/>
      </c>
      <c r="BD9" s="216">
        <f>IF(BD6=0,0,BD8/BD6)</f>
        <v/>
      </c>
      <c r="BE9" s="216">
        <f>IF(BE6=0,0,BE8/BE6)</f>
        <v/>
      </c>
      <c r="BF9" s="216">
        <f>IF(BF6=0,0,BF8/BF6)</f>
        <v/>
      </c>
      <c r="BG9" s="216">
        <f>IF(BG6=0,0,BG8/BG6)</f>
        <v/>
      </c>
      <c r="BH9" s="216">
        <f>IF(BH6=0,0,BH8/BH6)</f>
        <v/>
      </c>
      <c r="BI9" s="216">
        <f>IF(BI6=0,0,BI8/BI6)</f>
        <v/>
      </c>
      <c r="BJ9" s="216">
        <f>IF(BJ6=0,0,BJ8/BJ6)</f>
        <v/>
      </c>
      <c r="BL9" s="217">
        <f>IF((C6+D6+E6+F6+G6+H6+I6+J6+K6+L6+M6+N6)=0,0,(C8+D8+E8+F8+G8+H8+I8+J8+K8+L8+M8+N8)/(C6+D6+E6+F6+G6+H6+I6+J6+K6+L6+M6+N6))</f>
        <v/>
      </c>
      <c r="BM9" s="217">
        <f>IF((O6+P6+Q6+R6+S6+T6+U6+V6+W6+X6+Y6+Z6)=0,0,(O8+P8+Q8+R8+S8+T8+U8+V8+W8+X8+Y8+Z8)/(O6+P6+Q6+R6+S6+T6+U6+V6+W6+X6+Y6+Z6))</f>
        <v/>
      </c>
      <c r="BN9" s="217">
        <f>IF((AA6+AB6+AC6+AD6+AE6+AF6+AG6+AH6+AI6+AJ6+AK6+AL6)=0,0,(AA8+AB8+AC8+AD8+AE8+AF8+AG8+AH8+AI8+AJ8+AK8+AL8)/(AA6+AB6+AC6+AD6+AE6+AF6+AG6+AH6+AI6+AJ6+AK6+AL6))</f>
        <v/>
      </c>
      <c r="BO9" s="217">
        <f>IF((AM6+AN6+AO6+AP6+AQ6+AR6+AS6+AT6+AU6+AV6+AW6+AX6)=0,0,(AM8+AN8+AO8+AP8+AQ8+AR8+AS8+AT8+AU8+AV8+AW8+AX8)/(AM6+AN6+AO6+AP6+AQ6+AR6+AS6+AT6+AU6+AV6+AW6+AX6))</f>
        <v/>
      </c>
      <c r="BP9" s="217">
        <f>IF((AY6+AZ6+BA6+BB6+BC6+BD6+BE6+BF6+BG6+BH6+BI6+BJ6)=0,0,(AY8+AZ8+BA8+BB8+BC8+BD8+BE8+BF8+BG8+BH8+BI8+BJ8)/(AY6+AZ6+BA6+BB6+BC6+BD6+BE6+BF6+BG6+BH6+BI6+BJ6))</f>
        <v/>
      </c>
    </row>
    <row r="10" ht="15" customHeight="1" s="104">
      <c r="A10" s="107" t="inlineStr">
        <is>
          <t>Staff Compensation</t>
        </is>
      </c>
      <c r="C10" s="156">
        <f>C6*(Assumptions!B26+Assumptions!B27*0)</f>
        <v/>
      </c>
      <c r="D10" s="156">
        <f>D6*(Assumptions!B26+Assumptions!B27*0)</f>
        <v/>
      </c>
      <c r="E10" s="156">
        <f>E6*(Assumptions!B26+Assumptions!B27*0)</f>
        <v/>
      </c>
      <c r="F10" s="156">
        <f>F6*(Assumptions!B26+Assumptions!B27*0)</f>
        <v/>
      </c>
      <c r="G10" s="156">
        <f>G6*(Assumptions!B26+Assumptions!B27*0)</f>
        <v/>
      </c>
      <c r="H10" s="156">
        <f>H6*(Assumptions!B26+Assumptions!B27*0)</f>
        <v/>
      </c>
      <c r="I10" s="156">
        <f>I6*(Assumptions!B26+Assumptions!B27*0)</f>
        <v/>
      </c>
      <c r="J10" s="156">
        <f>J6*(Assumptions!B26+Assumptions!B27*0)</f>
        <v/>
      </c>
      <c r="K10" s="156">
        <f>K6*(Assumptions!B26+Assumptions!B27*0)</f>
        <v/>
      </c>
      <c r="L10" s="156">
        <f>L6*(Assumptions!B26+Assumptions!B27*0)</f>
        <v/>
      </c>
      <c r="M10" s="156">
        <f>M6*(Assumptions!B26+Assumptions!B27*0)</f>
        <v/>
      </c>
      <c r="N10" s="156">
        <f>N6*(Assumptions!B26+Assumptions!B27*0)</f>
        <v/>
      </c>
      <c r="O10" s="156">
        <f>O6*(Assumptions!B26+Assumptions!B27*1)</f>
        <v/>
      </c>
      <c r="P10" s="156">
        <f>P6*(Assumptions!B26+Assumptions!B27*1)</f>
        <v/>
      </c>
      <c r="Q10" s="156">
        <f>Q6*(Assumptions!B26+Assumptions!B27*1)</f>
        <v/>
      </c>
      <c r="R10" s="156">
        <f>R6*(Assumptions!B26+Assumptions!B27*1)</f>
        <v/>
      </c>
      <c r="S10" s="156">
        <f>S6*(Assumptions!B26+Assumptions!B27*1)</f>
        <v/>
      </c>
      <c r="T10" s="156">
        <f>T6*(Assumptions!B26+Assumptions!B27*1)</f>
        <v/>
      </c>
      <c r="U10" s="156">
        <f>U6*(Assumptions!B26+Assumptions!B27*1)</f>
        <v/>
      </c>
      <c r="V10" s="156">
        <f>V6*(Assumptions!B26+Assumptions!B27*1)</f>
        <v/>
      </c>
      <c r="W10" s="156">
        <f>W6*(Assumptions!B26+Assumptions!B27*1)</f>
        <v/>
      </c>
      <c r="X10" s="156">
        <f>X6*(Assumptions!B26+Assumptions!B27*1)</f>
        <v/>
      </c>
      <c r="Y10" s="156">
        <f>Y6*(Assumptions!B26+Assumptions!B27*1)</f>
        <v/>
      </c>
      <c r="Z10" s="156">
        <f>Z6*(Assumptions!B26+Assumptions!B27*1)</f>
        <v/>
      </c>
      <c r="AA10" s="156">
        <f>AA6*(Assumptions!B26+Assumptions!B27*2)</f>
        <v/>
      </c>
      <c r="AB10" s="156">
        <f>AB6*(Assumptions!B26+Assumptions!B27*2)</f>
        <v/>
      </c>
      <c r="AC10" s="156">
        <f>AC6*(Assumptions!B26+Assumptions!B27*2)</f>
        <v/>
      </c>
      <c r="AD10" s="156">
        <f>AD6*(Assumptions!B26+Assumptions!B27*2)</f>
        <v/>
      </c>
      <c r="AE10" s="156">
        <f>AE6*(Assumptions!B26+Assumptions!B27*2)</f>
        <v/>
      </c>
      <c r="AF10" s="156">
        <f>AF6*(Assumptions!B26+Assumptions!B27*2)</f>
        <v/>
      </c>
      <c r="AG10" s="156">
        <f>AG6*(Assumptions!B26+Assumptions!B27*2)</f>
        <v/>
      </c>
      <c r="AH10" s="156">
        <f>AH6*(Assumptions!B26+Assumptions!B27*2)</f>
        <v/>
      </c>
      <c r="AI10" s="156">
        <f>AI6*(Assumptions!B26+Assumptions!B27*2)</f>
        <v/>
      </c>
      <c r="AJ10" s="156">
        <f>AJ6*(Assumptions!B26+Assumptions!B27*2)</f>
        <v/>
      </c>
      <c r="AK10" s="156">
        <f>AK6*(Assumptions!B26+Assumptions!B27*2)</f>
        <v/>
      </c>
      <c r="AL10" s="156">
        <f>AL6*(Assumptions!B26+Assumptions!B27*2)</f>
        <v/>
      </c>
      <c r="AM10" s="156">
        <f>AM6*(Assumptions!B26+Assumptions!B27*3)</f>
        <v/>
      </c>
      <c r="AN10" s="156">
        <f>AN6*(Assumptions!B26+Assumptions!B27*3)</f>
        <v/>
      </c>
      <c r="AO10" s="156">
        <f>AO6*(Assumptions!B26+Assumptions!B27*3)</f>
        <v/>
      </c>
      <c r="AP10" s="156">
        <f>AP6*(Assumptions!B26+Assumptions!B27*3)</f>
        <v/>
      </c>
      <c r="AQ10" s="156">
        <f>AQ6*(Assumptions!B26+Assumptions!B27*3)</f>
        <v/>
      </c>
      <c r="AR10" s="156">
        <f>AR6*(Assumptions!B26+Assumptions!B27*3)</f>
        <v/>
      </c>
      <c r="AS10" s="156">
        <f>AS6*(Assumptions!B26+Assumptions!B27*3)</f>
        <v/>
      </c>
      <c r="AT10" s="156">
        <f>AT6*(Assumptions!B26+Assumptions!B27*3)</f>
        <v/>
      </c>
      <c r="AU10" s="156">
        <f>AU6*(Assumptions!B26+Assumptions!B27*3)</f>
        <v/>
      </c>
      <c r="AV10" s="156">
        <f>AV6*(Assumptions!B26+Assumptions!B27*3)</f>
        <v/>
      </c>
      <c r="AW10" s="156">
        <f>AW6*(Assumptions!B26+Assumptions!B27*3)</f>
        <v/>
      </c>
      <c r="AX10" s="156">
        <f>AX6*(Assumptions!B26+Assumptions!B27*3)</f>
        <v/>
      </c>
      <c r="AY10" s="156">
        <f>AY6*(Assumptions!B26+Assumptions!B27*4)</f>
        <v/>
      </c>
      <c r="AZ10" s="156">
        <f>AZ6*(Assumptions!B26+Assumptions!B27*4)</f>
        <v/>
      </c>
      <c r="BA10" s="156">
        <f>BA6*(Assumptions!B26+Assumptions!B27*4)</f>
        <v/>
      </c>
      <c r="BB10" s="156">
        <f>BB6*(Assumptions!B26+Assumptions!B27*4)</f>
        <v/>
      </c>
      <c r="BC10" s="156">
        <f>BC6*(Assumptions!B26+Assumptions!B27*4)</f>
        <v/>
      </c>
      <c r="BD10" s="156">
        <f>BD6*(Assumptions!B26+Assumptions!B27*4)</f>
        <v/>
      </c>
      <c r="BE10" s="156">
        <f>BE6*(Assumptions!B26+Assumptions!B27*4)</f>
        <v/>
      </c>
      <c r="BF10" s="156">
        <f>BF6*(Assumptions!B26+Assumptions!B27*4)</f>
        <v/>
      </c>
      <c r="BG10" s="156">
        <f>BG6*(Assumptions!B26+Assumptions!B27*4)</f>
        <v/>
      </c>
      <c r="BH10" s="156">
        <f>BH6*(Assumptions!B26+Assumptions!B27*4)</f>
        <v/>
      </c>
      <c r="BI10" s="156">
        <f>BI6*(Assumptions!B26+Assumptions!B27*4)</f>
        <v/>
      </c>
      <c r="BJ10" s="156">
        <f>BJ6*(Assumptions!B26+Assumptions!B27*4)</f>
        <v/>
      </c>
      <c r="BL10" s="157">
        <f>C10+D10+E10+F10+G10+H10+I10+J10+K10+L10+M10+N10</f>
        <v/>
      </c>
      <c r="BM10" s="157">
        <f>O10+P10+Q10+R10+S10+T10+U10+V10+W10+X10+Y10+Z10</f>
        <v/>
      </c>
      <c r="BN10" s="157">
        <f>AA10+AB10+AC10+AD10+AE10+AF10+AG10+AH10+AI10+AJ10+AK10+AL10</f>
        <v/>
      </c>
      <c r="BO10" s="157">
        <f>AM10+AN10+AO10+AP10+AQ10+AR10+AS10+AT10+AU10+AV10+AW10+AX10</f>
        <v/>
      </c>
      <c r="BP10" s="157">
        <f>AY10+AZ10+BA10+BB10+BC10+BD10+BE10+BF10+BG10+BH10+BI10+BJ10</f>
        <v/>
      </c>
    </row>
    <row r="11" ht="15" customHeight="1" s="104">
      <c r="A11" s="215" t="inlineStr">
        <is>
          <t xml:space="preserve">    % of Revenue</t>
        </is>
      </c>
      <c r="C11" s="216">
        <f>IF(C6=0,0,C10/C6)</f>
        <v/>
      </c>
      <c r="D11" s="216">
        <f>IF(D6=0,0,D10/D6)</f>
        <v/>
      </c>
      <c r="E11" s="216">
        <f>IF(E6=0,0,E10/E6)</f>
        <v/>
      </c>
      <c r="F11" s="216">
        <f>IF(F6=0,0,F10/F6)</f>
        <v/>
      </c>
      <c r="G11" s="216">
        <f>IF(G6=0,0,G10/G6)</f>
        <v/>
      </c>
      <c r="H11" s="216">
        <f>IF(H6=0,0,H10/H6)</f>
        <v/>
      </c>
      <c r="I11" s="216">
        <f>IF(I6=0,0,I10/I6)</f>
        <v/>
      </c>
      <c r="J11" s="216">
        <f>IF(J6=0,0,J10/J6)</f>
        <v/>
      </c>
      <c r="K11" s="216">
        <f>IF(K6=0,0,K10/K6)</f>
        <v/>
      </c>
      <c r="L11" s="216">
        <f>IF(L6=0,0,L10/L6)</f>
        <v/>
      </c>
      <c r="M11" s="216">
        <f>IF(M6=0,0,M10/M6)</f>
        <v/>
      </c>
      <c r="N11" s="216">
        <f>IF(N6=0,0,N10/N6)</f>
        <v/>
      </c>
      <c r="O11" s="216">
        <f>IF(O6=0,0,O10/O6)</f>
        <v/>
      </c>
      <c r="P11" s="216">
        <f>IF(P6=0,0,P10/P6)</f>
        <v/>
      </c>
      <c r="Q11" s="216">
        <f>IF(Q6=0,0,Q10/Q6)</f>
        <v/>
      </c>
      <c r="R11" s="216">
        <f>IF(R6=0,0,R10/R6)</f>
        <v/>
      </c>
      <c r="S11" s="216">
        <f>IF(S6=0,0,S10/S6)</f>
        <v/>
      </c>
      <c r="T11" s="216">
        <f>IF(T6=0,0,T10/T6)</f>
        <v/>
      </c>
      <c r="U11" s="216">
        <f>IF(U6=0,0,U10/U6)</f>
        <v/>
      </c>
      <c r="V11" s="216">
        <f>IF(V6=0,0,V10/V6)</f>
        <v/>
      </c>
      <c r="W11" s="216">
        <f>IF(W6=0,0,W10/W6)</f>
        <v/>
      </c>
      <c r="X11" s="216">
        <f>IF(X6=0,0,X10/X6)</f>
        <v/>
      </c>
      <c r="Y11" s="216">
        <f>IF(Y6=0,0,Y10/Y6)</f>
        <v/>
      </c>
      <c r="Z11" s="216">
        <f>IF(Z6=0,0,Z10/Z6)</f>
        <v/>
      </c>
      <c r="AA11" s="216">
        <f>IF(AA6=0,0,AA10/AA6)</f>
        <v/>
      </c>
      <c r="AB11" s="216">
        <f>IF(AB6=0,0,AB10/AB6)</f>
        <v/>
      </c>
      <c r="AC11" s="216">
        <f>IF(AC6=0,0,AC10/AC6)</f>
        <v/>
      </c>
      <c r="AD11" s="216">
        <f>IF(AD6=0,0,AD10/AD6)</f>
        <v/>
      </c>
      <c r="AE11" s="216">
        <f>IF(AE6=0,0,AE10/AE6)</f>
        <v/>
      </c>
      <c r="AF11" s="216">
        <f>IF(AF6=0,0,AF10/AF6)</f>
        <v/>
      </c>
      <c r="AG11" s="216">
        <f>IF(AG6=0,0,AG10/AG6)</f>
        <v/>
      </c>
      <c r="AH11" s="216">
        <f>IF(AH6=0,0,AH10/AH6)</f>
        <v/>
      </c>
      <c r="AI11" s="216">
        <f>IF(AI6=0,0,AI10/AI6)</f>
        <v/>
      </c>
      <c r="AJ11" s="216">
        <f>IF(AJ6=0,0,AJ10/AJ6)</f>
        <v/>
      </c>
      <c r="AK11" s="216">
        <f>IF(AK6=0,0,AK10/AK6)</f>
        <v/>
      </c>
      <c r="AL11" s="216">
        <f>IF(AL6=0,0,AL10/AL6)</f>
        <v/>
      </c>
      <c r="AM11" s="216">
        <f>IF(AM6=0,0,AM10/AM6)</f>
        <v/>
      </c>
      <c r="AN11" s="216">
        <f>IF(AN6=0,0,AN10/AN6)</f>
        <v/>
      </c>
      <c r="AO11" s="216">
        <f>IF(AO6=0,0,AO10/AO6)</f>
        <v/>
      </c>
      <c r="AP11" s="216">
        <f>IF(AP6=0,0,AP10/AP6)</f>
        <v/>
      </c>
      <c r="AQ11" s="216">
        <f>IF(AQ6=0,0,AQ10/AQ6)</f>
        <v/>
      </c>
      <c r="AR11" s="216">
        <f>IF(AR6=0,0,AR10/AR6)</f>
        <v/>
      </c>
      <c r="AS11" s="216">
        <f>IF(AS6=0,0,AS10/AS6)</f>
        <v/>
      </c>
      <c r="AT11" s="216">
        <f>IF(AT6=0,0,AT10/AT6)</f>
        <v/>
      </c>
      <c r="AU11" s="216">
        <f>IF(AU6=0,0,AU10/AU6)</f>
        <v/>
      </c>
      <c r="AV11" s="216">
        <f>IF(AV6=0,0,AV10/AV6)</f>
        <v/>
      </c>
      <c r="AW11" s="216">
        <f>IF(AW6=0,0,AW10/AW6)</f>
        <v/>
      </c>
      <c r="AX11" s="216">
        <f>IF(AX6=0,0,AX10/AX6)</f>
        <v/>
      </c>
      <c r="AY11" s="216">
        <f>IF(AY6=0,0,AY10/AY6)</f>
        <v/>
      </c>
      <c r="AZ11" s="216">
        <f>IF(AZ6=0,0,AZ10/AZ6)</f>
        <v/>
      </c>
      <c r="BA11" s="216">
        <f>IF(BA6=0,0,BA10/BA6)</f>
        <v/>
      </c>
      <c r="BB11" s="216">
        <f>IF(BB6=0,0,BB10/BB6)</f>
        <v/>
      </c>
      <c r="BC11" s="216">
        <f>IF(BC6=0,0,BC10/BC6)</f>
        <v/>
      </c>
      <c r="BD11" s="216">
        <f>IF(BD6=0,0,BD10/BD6)</f>
        <v/>
      </c>
      <c r="BE11" s="216">
        <f>IF(BE6=0,0,BE10/BE6)</f>
        <v/>
      </c>
      <c r="BF11" s="216">
        <f>IF(BF6=0,0,BF10/BF6)</f>
        <v/>
      </c>
      <c r="BG11" s="216">
        <f>IF(BG6=0,0,BG10/BG6)</f>
        <v/>
      </c>
      <c r="BH11" s="216">
        <f>IF(BH6=0,0,BH10/BH6)</f>
        <v/>
      </c>
      <c r="BI11" s="216">
        <f>IF(BI6=0,0,BI10/BI6)</f>
        <v/>
      </c>
      <c r="BJ11" s="216">
        <f>IF(BJ6=0,0,BJ10/BJ6)</f>
        <v/>
      </c>
      <c r="BL11" s="217">
        <f>IF((C6+D6+E6+F6+G6+H6+I6+J6+K6+L6+M6+N6)=0,0,(C10+D10+E10+F10+G10+H10+I10+J10+K10+L10+M10+N10)/(C6+D6+E6+F6+G6+H6+I6+J6+K6+L6+M6+N6))</f>
        <v/>
      </c>
      <c r="BM11" s="217">
        <f>IF((O6+P6+Q6+R6+S6+T6+U6+V6+W6+X6+Y6+Z6)=0,0,(O10+P10+Q10+R10+S10+T10+U10+V10+W10+X10+Y10+Z10)/(O6+P6+Q6+R6+S6+T6+U6+V6+W6+X6+Y6+Z6))</f>
        <v/>
      </c>
      <c r="BN11" s="217">
        <f>IF((AA6+AB6+AC6+AD6+AE6+AF6+AG6+AH6+AI6+AJ6+AK6+AL6)=0,0,(AA10+AB10+AC10+AD10+AE10+AF10+AG10+AH10+AI10+AJ10+AK10+AL10)/(AA6+AB6+AC6+AD6+AE6+AF6+AG6+AH6+AI6+AJ6+AK6+AL6))</f>
        <v/>
      </c>
      <c r="BO11" s="217">
        <f>IF((AM6+AN6+AO6+AP6+AQ6+AR6+AS6+AT6+AU6+AV6+AW6+AX6)=0,0,(AM10+AN10+AO10+AP10+AQ10+AR10+AS10+AT10+AU10+AV10+AW10+AX10)/(AM6+AN6+AO6+AP6+AQ6+AR6+AS6+AT6+AU6+AV6+AW6+AX6))</f>
        <v/>
      </c>
      <c r="BP11" s="217">
        <f>IF((AY6+AZ6+BA6+BB6+BC6+BD6+BE6+BF6+BG6+BH6+BI6+BJ6)=0,0,(AY10+AZ10+BA10+BB10+BC10+BD10+BE10+BF10+BG10+BH10+BI10+BJ10)/(AY6+AZ6+BA6+BB6+BC6+BD6+BE6+BF6+BG6+BH6+BI6+BJ6))</f>
        <v/>
      </c>
    </row>
    <row r="12" ht="15" customHeight="1" s="104">
      <c r="A12" s="107" t="inlineStr">
        <is>
          <t>Occupancy &amp; Facilities</t>
        </is>
      </c>
      <c r="C12" s="156">
        <f>C6*(Assumptions!B28+Assumptions!B29*0)</f>
        <v/>
      </c>
      <c r="D12" s="156">
        <f>D6*(Assumptions!B28+Assumptions!B29*0)</f>
        <v/>
      </c>
      <c r="E12" s="156">
        <f>E6*(Assumptions!B28+Assumptions!B29*0)</f>
        <v/>
      </c>
      <c r="F12" s="156">
        <f>F6*(Assumptions!B28+Assumptions!B29*0)</f>
        <v/>
      </c>
      <c r="G12" s="156">
        <f>G6*(Assumptions!B28+Assumptions!B29*0)</f>
        <v/>
      </c>
      <c r="H12" s="156">
        <f>H6*(Assumptions!B28+Assumptions!B29*0)</f>
        <v/>
      </c>
      <c r="I12" s="156">
        <f>I6*(Assumptions!B28+Assumptions!B29*0)</f>
        <v/>
      </c>
      <c r="J12" s="156">
        <f>J6*(Assumptions!B28+Assumptions!B29*0)</f>
        <v/>
      </c>
      <c r="K12" s="156">
        <f>K6*(Assumptions!B28+Assumptions!B29*0)</f>
        <v/>
      </c>
      <c r="L12" s="156">
        <f>L6*(Assumptions!B28+Assumptions!B29*0)</f>
        <v/>
      </c>
      <c r="M12" s="156">
        <f>M6*(Assumptions!B28+Assumptions!B29*0)</f>
        <v/>
      </c>
      <c r="N12" s="156">
        <f>N6*(Assumptions!B28+Assumptions!B29*0)</f>
        <v/>
      </c>
      <c r="O12" s="156">
        <f>O6*(Assumptions!B28+Assumptions!B29*1)</f>
        <v/>
      </c>
      <c r="P12" s="156">
        <f>P6*(Assumptions!B28+Assumptions!B29*1)</f>
        <v/>
      </c>
      <c r="Q12" s="156">
        <f>Q6*(Assumptions!B28+Assumptions!B29*1)</f>
        <v/>
      </c>
      <c r="R12" s="156">
        <f>R6*(Assumptions!B28+Assumptions!B29*1)</f>
        <v/>
      </c>
      <c r="S12" s="156">
        <f>S6*(Assumptions!B28+Assumptions!B29*1)</f>
        <v/>
      </c>
      <c r="T12" s="156">
        <f>T6*(Assumptions!B28+Assumptions!B29*1)</f>
        <v/>
      </c>
      <c r="U12" s="156">
        <f>U6*(Assumptions!B28+Assumptions!B29*1)</f>
        <v/>
      </c>
      <c r="V12" s="156">
        <f>V6*(Assumptions!B28+Assumptions!B29*1)</f>
        <v/>
      </c>
      <c r="W12" s="156">
        <f>W6*(Assumptions!B28+Assumptions!B29*1)</f>
        <v/>
      </c>
      <c r="X12" s="156">
        <f>X6*(Assumptions!B28+Assumptions!B29*1)</f>
        <v/>
      </c>
      <c r="Y12" s="156">
        <f>Y6*(Assumptions!B28+Assumptions!B29*1)</f>
        <v/>
      </c>
      <c r="Z12" s="156">
        <f>Z6*(Assumptions!B28+Assumptions!B29*1)</f>
        <v/>
      </c>
      <c r="AA12" s="156">
        <f>AA6*(Assumptions!B28+Assumptions!B29*2)</f>
        <v/>
      </c>
      <c r="AB12" s="156">
        <f>AB6*(Assumptions!B28+Assumptions!B29*2)</f>
        <v/>
      </c>
      <c r="AC12" s="156">
        <f>AC6*(Assumptions!B28+Assumptions!B29*2)</f>
        <v/>
      </c>
      <c r="AD12" s="156">
        <f>AD6*(Assumptions!B28+Assumptions!B29*2)</f>
        <v/>
      </c>
      <c r="AE12" s="156">
        <f>AE6*(Assumptions!B28+Assumptions!B29*2)</f>
        <v/>
      </c>
      <c r="AF12" s="156">
        <f>AF6*(Assumptions!B28+Assumptions!B29*2)</f>
        <v/>
      </c>
      <c r="AG12" s="156">
        <f>AG6*(Assumptions!B28+Assumptions!B29*2)</f>
        <v/>
      </c>
      <c r="AH12" s="156">
        <f>AH6*(Assumptions!B28+Assumptions!B29*2)</f>
        <v/>
      </c>
      <c r="AI12" s="156">
        <f>AI6*(Assumptions!B28+Assumptions!B29*2)</f>
        <v/>
      </c>
      <c r="AJ12" s="156">
        <f>AJ6*(Assumptions!B28+Assumptions!B29*2)</f>
        <v/>
      </c>
      <c r="AK12" s="156">
        <f>AK6*(Assumptions!B28+Assumptions!B29*2)</f>
        <v/>
      </c>
      <c r="AL12" s="156">
        <f>AL6*(Assumptions!B28+Assumptions!B29*2)</f>
        <v/>
      </c>
      <c r="AM12" s="156">
        <f>AM6*(Assumptions!B28+Assumptions!B29*3)</f>
        <v/>
      </c>
      <c r="AN12" s="156">
        <f>AN6*(Assumptions!B28+Assumptions!B29*3)</f>
        <v/>
      </c>
      <c r="AO12" s="156">
        <f>AO6*(Assumptions!B28+Assumptions!B29*3)</f>
        <v/>
      </c>
      <c r="AP12" s="156">
        <f>AP6*(Assumptions!B28+Assumptions!B29*3)</f>
        <v/>
      </c>
      <c r="AQ12" s="156">
        <f>AQ6*(Assumptions!B28+Assumptions!B29*3)</f>
        <v/>
      </c>
      <c r="AR12" s="156">
        <f>AR6*(Assumptions!B28+Assumptions!B29*3)</f>
        <v/>
      </c>
      <c r="AS12" s="156">
        <f>AS6*(Assumptions!B28+Assumptions!B29*3)</f>
        <v/>
      </c>
      <c r="AT12" s="156">
        <f>AT6*(Assumptions!B28+Assumptions!B29*3)</f>
        <v/>
      </c>
      <c r="AU12" s="156">
        <f>AU6*(Assumptions!B28+Assumptions!B29*3)</f>
        <v/>
      </c>
      <c r="AV12" s="156">
        <f>AV6*(Assumptions!B28+Assumptions!B29*3)</f>
        <v/>
      </c>
      <c r="AW12" s="156">
        <f>AW6*(Assumptions!B28+Assumptions!B29*3)</f>
        <v/>
      </c>
      <c r="AX12" s="156">
        <f>AX6*(Assumptions!B28+Assumptions!B29*3)</f>
        <v/>
      </c>
      <c r="AY12" s="156">
        <f>AY6*(Assumptions!B28+Assumptions!B29*4)</f>
        <v/>
      </c>
      <c r="AZ12" s="156">
        <f>AZ6*(Assumptions!B28+Assumptions!B29*4)</f>
        <v/>
      </c>
      <c r="BA12" s="156">
        <f>BA6*(Assumptions!B28+Assumptions!B29*4)</f>
        <v/>
      </c>
      <c r="BB12" s="156">
        <f>BB6*(Assumptions!B28+Assumptions!B29*4)</f>
        <v/>
      </c>
      <c r="BC12" s="156">
        <f>BC6*(Assumptions!B28+Assumptions!B29*4)</f>
        <v/>
      </c>
      <c r="BD12" s="156">
        <f>BD6*(Assumptions!B28+Assumptions!B29*4)</f>
        <v/>
      </c>
      <c r="BE12" s="156">
        <f>BE6*(Assumptions!B28+Assumptions!B29*4)</f>
        <v/>
      </c>
      <c r="BF12" s="156">
        <f>BF6*(Assumptions!B28+Assumptions!B29*4)</f>
        <v/>
      </c>
      <c r="BG12" s="156">
        <f>BG6*(Assumptions!B28+Assumptions!B29*4)</f>
        <v/>
      </c>
      <c r="BH12" s="156">
        <f>BH6*(Assumptions!B28+Assumptions!B29*4)</f>
        <v/>
      </c>
      <c r="BI12" s="156">
        <f>BI6*(Assumptions!B28+Assumptions!B29*4)</f>
        <v/>
      </c>
      <c r="BJ12" s="156">
        <f>BJ6*(Assumptions!B28+Assumptions!B29*4)</f>
        <v/>
      </c>
      <c r="BL12" s="157">
        <f>C12+D12+E12+F12+G12+H12+I12+J12+K12+L12+M12+N12</f>
        <v/>
      </c>
      <c r="BM12" s="157">
        <f>O12+P12+Q12+R12+S12+T12+U12+V12+W12+X12+Y12+Z12</f>
        <v/>
      </c>
      <c r="BN12" s="157">
        <f>AA12+AB12+AC12+AD12+AE12+AF12+AG12+AH12+AI12+AJ12+AK12+AL12</f>
        <v/>
      </c>
      <c r="BO12" s="157">
        <f>AM12+AN12+AO12+AP12+AQ12+AR12+AS12+AT12+AU12+AV12+AW12+AX12</f>
        <v/>
      </c>
      <c r="BP12" s="157">
        <f>AY12+AZ12+BA12+BB12+BC12+BD12+BE12+BF12+BG12+BH12+BI12+BJ12</f>
        <v/>
      </c>
    </row>
    <row r="13" ht="15" customHeight="1" s="104">
      <c r="A13" s="215" t="inlineStr">
        <is>
          <t xml:space="preserve">    % of Revenue</t>
        </is>
      </c>
      <c r="C13" s="216">
        <f>IF(C6=0,0,C12/C6)</f>
        <v/>
      </c>
      <c r="D13" s="216">
        <f>IF(D6=0,0,D12/D6)</f>
        <v/>
      </c>
      <c r="E13" s="216">
        <f>IF(E6=0,0,E12/E6)</f>
        <v/>
      </c>
      <c r="F13" s="216">
        <f>IF(F6=0,0,F12/F6)</f>
        <v/>
      </c>
      <c r="G13" s="216">
        <f>IF(G6=0,0,G12/G6)</f>
        <v/>
      </c>
      <c r="H13" s="216">
        <f>IF(H6=0,0,H12/H6)</f>
        <v/>
      </c>
      <c r="I13" s="216">
        <f>IF(I6=0,0,I12/I6)</f>
        <v/>
      </c>
      <c r="J13" s="216">
        <f>IF(J6=0,0,J12/J6)</f>
        <v/>
      </c>
      <c r="K13" s="216">
        <f>IF(K6=0,0,K12/K6)</f>
        <v/>
      </c>
      <c r="L13" s="216">
        <f>IF(L6=0,0,L12/L6)</f>
        <v/>
      </c>
      <c r="M13" s="216">
        <f>IF(M6=0,0,M12/M6)</f>
        <v/>
      </c>
      <c r="N13" s="216">
        <f>IF(N6=0,0,N12/N6)</f>
        <v/>
      </c>
      <c r="O13" s="216">
        <f>IF(O6=0,0,O12/O6)</f>
        <v/>
      </c>
      <c r="P13" s="216">
        <f>IF(P6=0,0,P12/P6)</f>
        <v/>
      </c>
      <c r="Q13" s="216">
        <f>IF(Q6=0,0,Q12/Q6)</f>
        <v/>
      </c>
      <c r="R13" s="216">
        <f>IF(R6=0,0,R12/R6)</f>
        <v/>
      </c>
      <c r="S13" s="216">
        <f>IF(S6=0,0,S12/S6)</f>
        <v/>
      </c>
      <c r="T13" s="216">
        <f>IF(T6=0,0,T12/T6)</f>
        <v/>
      </c>
      <c r="U13" s="216">
        <f>IF(U6=0,0,U12/U6)</f>
        <v/>
      </c>
      <c r="V13" s="216">
        <f>IF(V6=0,0,V12/V6)</f>
        <v/>
      </c>
      <c r="W13" s="216">
        <f>IF(W6=0,0,W12/W6)</f>
        <v/>
      </c>
      <c r="X13" s="216">
        <f>IF(X6=0,0,X12/X6)</f>
        <v/>
      </c>
      <c r="Y13" s="216">
        <f>IF(Y6=0,0,Y12/Y6)</f>
        <v/>
      </c>
      <c r="Z13" s="216">
        <f>IF(Z6=0,0,Z12/Z6)</f>
        <v/>
      </c>
      <c r="AA13" s="216">
        <f>IF(AA6=0,0,AA12/AA6)</f>
        <v/>
      </c>
      <c r="AB13" s="216">
        <f>IF(AB6=0,0,AB12/AB6)</f>
        <v/>
      </c>
      <c r="AC13" s="216">
        <f>IF(AC6=0,0,AC12/AC6)</f>
        <v/>
      </c>
      <c r="AD13" s="216">
        <f>IF(AD6=0,0,AD12/AD6)</f>
        <v/>
      </c>
      <c r="AE13" s="216">
        <f>IF(AE6=0,0,AE12/AE6)</f>
        <v/>
      </c>
      <c r="AF13" s="216">
        <f>IF(AF6=0,0,AF12/AF6)</f>
        <v/>
      </c>
      <c r="AG13" s="216">
        <f>IF(AG6=0,0,AG12/AG6)</f>
        <v/>
      </c>
      <c r="AH13" s="216">
        <f>IF(AH6=0,0,AH12/AH6)</f>
        <v/>
      </c>
      <c r="AI13" s="216">
        <f>IF(AI6=0,0,AI12/AI6)</f>
        <v/>
      </c>
      <c r="AJ13" s="216">
        <f>IF(AJ6=0,0,AJ12/AJ6)</f>
        <v/>
      </c>
      <c r="AK13" s="216">
        <f>IF(AK6=0,0,AK12/AK6)</f>
        <v/>
      </c>
      <c r="AL13" s="216">
        <f>IF(AL6=0,0,AL12/AL6)</f>
        <v/>
      </c>
      <c r="AM13" s="216">
        <f>IF(AM6=0,0,AM12/AM6)</f>
        <v/>
      </c>
      <c r="AN13" s="216">
        <f>IF(AN6=0,0,AN12/AN6)</f>
        <v/>
      </c>
      <c r="AO13" s="216">
        <f>IF(AO6=0,0,AO12/AO6)</f>
        <v/>
      </c>
      <c r="AP13" s="216">
        <f>IF(AP6=0,0,AP12/AP6)</f>
        <v/>
      </c>
      <c r="AQ13" s="216">
        <f>IF(AQ6=0,0,AQ12/AQ6)</f>
        <v/>
      </c>
      <c r="AR13" s="216">
        <f>IF(AR6=0,0,AR12/AR6)</f>
        <v/>
      </c>
      <c r="AS13" s="216">
        <f>IF(AS6=0,0,AS12/AS6)</f>
        <v/>
      </c>
      <c r="AT13" s="216">
        <f>IF(AT6=0,0,AT12/AT6)</f>
        <v/>
      </c>
      <c r="AU13" s="216">
        <f>IF(AU6=0,0,AU12/AU6)</f>
        <v/>
      </c>
      <c r="AV13" s="216">
        <f>IF(AV6=0,0,AV12/AV6)</f>
        <v/>
      </c>
      <c r="AW13" s="216">
        <f>IF(AW6=0,0,AW12/AW6)</f>
        <v/>
      </c>
      <c r="AX13" s="216">
        <f>IF(AX6=0,0,AX12/AX6)</f>
        <v/>
      </c>
      <c r="AY13" s="216">
        <f>IF(AY6=0,0,AY12/AY6)</f>
        <v/>
      </c>
      <c r="AZ13" s="216">
        <f>IF(AZ6=0,0,AZ12/AZ6)</f>
        <v/>
      </c>
      <c r="BA13" s="216">
        <f>IF(BA6=0,0,BA12/BA6)</f>
        <v/>
      </c>
      <c r="BB13" s="216">
        <f>IF(BB6=0,0,BB12/BB6)</f>
        <v/>
      </c>
      <c r="BC13" s="216">
        <f>IF(BC6=0,0,BC12/BC6)</f>
        <v/>
      </c>
      <c r="BD13" s="216">
        <f>IF(BD6=0,0,BD12/BD6)</f>
        <v/>
      </c>
      <c r="BE13" s="216">
        <f>IF(BE6=0,0,BE12/BE6)</f>
        <v/>
      </c>
      <c r="BF13" s="216">
        <f>IF(BF6=0,0,BF12/BF6)</f>
        <v/>
      </c>
      <c r="BG13" s="216">
        <f>IF(BG6=0,0,BG12/BG6)</f>
        <v/>
      </c>
      <c r="BH13" s="216">
        <f>IF(BH6=0,0,BH12/BH6)</f>
        <v/>
      </c>
      <c r="BI13" s="216">
        <f>IF(BI6=0,0,BI12/BI6)</f>
        <v/>
      </c>
      <c r="BJ13" s="216">
        <f>IF(BJ6=0,0,BJ12/BJ6)</f>
        <v/>
      </c>
      <c r="BL13" s="217">
        <f>IF((C6+D6+E6+F6+G6+H6+I6+J6+K6+L6+M6+N6)=0,0,(C12+D12+E12+F12+G12+H12+I12+J12+K12+L12+M12+N12)/(C6+D6+E6+F6+G6+H6+I6+J6+K6+L6+M6+N6))</f>
        <v/>
      </c>
      <c r="BM13" s="217">
        <f>IF((O6+P6+Q6+R6+S6+T6+U6+V6+W6+X6+Y6+Z6)=0,0,(O12+P12+Q12+R12+S12+T12+U12+V12+W12+X12+Y12+Z12)/(O6+P6+Q6+R6+S6+T6+U6+V6+W6+X6+Y6+Z6))</f>
        <v/>
      </c>
      <c r="BN13" s="217">
        <f>IF((AA6+AB6+AC6+AD6+AE6+AF6+AG6+AH6+AI6+AJ6+AK6+AL6)=0,0,(AA12+AB12+AC12+AD12+AE12+AF12+AG12+AH12+AI12+AJ12+AK12+AL12)/(AA6+AB6+AC6+AD6+AE6+AF6+AG6+AH6+AI6+AJ6+AK6+AL6))</f>
        <v/>
      </c>
      <c r="BO13" s="217">
        <f>IF((AM6+AN6+AO6+AP6+AQ6+AR6+AS6+AT6+AU6+AV6+AW6+AX6)=0,0,(AM12+AN12+AO12+AP12+AQ12+AR12+AS12+AT12+AU12+AV12+AW12+AX12)/(AM6+AN6+AO6+AP6+AQ6+AR6+AS6+AT6+AU6+AV6+AW6+AX6))</f>
        <v/>
      </c>
      <c r="BP13" s="217">
        <f>IF((AY6+AZ6+BA6+BB6+BC6+BD6+BE6+BF6+BG6+BH6+BI6+BJ6)=0,0,(AY12+AZ12+BA12+BB12+BC12+BD12+BE12+BF12+BG12+BH12+BI12+BJ12)/(AY6+AZ6+BA6+BB6+BC6+BD6+BE6+BF6+BG6+BH6+BI6+BJ6))</f>
        <v/>
      </c>
    </row>
    <row r="14" ht="15" customHeight="1" s="104">
      <c r="A14" s="107" t="inlineStr">
        <is>
          <t>Technology &amp; Software</t>
        </is>
      </c>
      <c r="C14" s="156">
        <f>C6*(Assumptions!B30+Assumptions!B31*0)</f>
        <v/>
      </c>
      <c r="D14" s="156">
        <f>D6*(Assumptions!B30+Assumptions!B31*0)</f>
        <v/>
      </c>
      <c r="E14" s="156">
        <f>E6*(Assumptions!B30+Assumptions!B31*0)</f>
        <v/>
      </c>
      <c r="F14" s="156">
        <f>F6*(Assumptions!B30+Assumptions!B31*0)</f>
        <v/>
      </c>
      <c r="G14" s="156">
        <f>G6*(Assumptions!B30+Assumptions!B31*0)</f>
        <v/>
      </c>
      <c r="H14" s="156">
        <f>H6*(Assumptions!B30+Assumptions!B31*0)</f>
        <v/>
      </c>
      <c r="I14" s="156">
        <f>I6*(Assumptions!B30+Assumptions!B31*0)</f>
        <v/>
      </c>
      <c r="J14" s="156">
        <f>J6*(Assumptions!B30+Assumptions!B31*0)</f>
        <v/>
      </c>
      <c r="K14" s="156">
        <f>K6*(Assumptions!B30+Assumptions!B31*0)</f>
        <v/>
      </c>
      <c r="L14" s="156">
        <f>L6*(Assumptions!B30+Assumptions!B31*0)</f>
        <v/>
      </c>
      <c r="M14" s="156">
        <f>M6*(Assumptions!B30+Assumptions!B31*0)</f>
        <v/>
      </c>
      <c r="N14" s="156">
        <f>N6*(Assumptions!B30+Assumptions!B31*0)</f>
        <v/>
      </c>
      <c r="O14" s="156">
        <f>O6*(Assumptions!B30+Assumptions!B31*1)</f>
        <v/>
      </c>
      <c r="P14" s="156">
        <f>P6*(Assumptions!B30+Assumptions!B31*1)</f>
        <v/>
      </c>
      <c r="Q14" s="156">
        <f>Q6*(Assumptions!B30+Assumptions!B31*1)</f>
        <v/>
      </c>
      <c r="R14" s="156">
        <f>R6*(Assumptions!B30+Assumptions!B31*1)</f>
        <v/>
      </c>
      <c r="S14" s="156">
        <f>S6*(Assumptions!B30+Assumptions!B31*1)</f>
        <v/>
      </c>
      <c r="T14" s="156">
        <f>T6*(Assumptions!B30+Assumptions!B31*1)</f>
        <v/>
      </c>
      <c r="U14" s="156">
        <f>U6*(Assumptions!B30+Assumptions!B31*1)</f>
        <v/>
      </c>
      <c r="V14" s="156">
        <f>V6*(Assumptions!B30+Assumptions!B31*1)</f>
        <v/>
      </c>
      <c r="W14" s="156">
        <f>W6*(Assumptions!B30+Assumptions!B31*1)</f>
        <v/>
      </c>
      <c r="X14" s="156">
        <f>X6*(Assumptions!B30+Assumptions!B31*1)</f>
        <v/>
      </c>
      <c r="Y14" s="156">
        <f>Y6*(Assumptions!B30+Assumptions!B31*1)</f>
        <v/>
      </c>
      <c r="Z14" s="156">
        <f>Z6*(Assumptions!B30+Assumptions!B31*1)</f>
        <v/>
      </c>
      <c r="AA14" s="156">
        <f>AA6*(Assumptions!B30+Assumptions!B31*2)</f>
        <v/>
      </c>
      <c r="AB14" s="156">
        <f>AB6*(Assumptions!B30+Assumptions!B31*2)</f>
        <v/>
      </c>
      <c r="AC14" s="156">
        <f>AC6*(Assumptions!B30+Assumptions!B31*2)</f>
        <v/>
      </c>
      <c r="AD14" s="156">
        <f>AD6*(Assumptions!B30+Assumptions!B31*2)</f>
        <v/>
      </c>
      <c r="AE14" s="156">
        <f>AE6*(Assumptions!B30+Assumptions!B31*2)</f>
        <v/>
      </c>
      <c r="AF14" s="156">
        <f>AF6*(Assumptions!B30+Assumptions!B31*2)</f>
        <v/>
      </c>
      <c r="AG14" s="156">
        <f>AG6*(Assumptions!B30+Assumptions!B31*2)</f>
        <v/>
      </c>
      <c r="AH14" s="156">
        <f>AH6*(Assumptions!B30+Assumptions!B31*2)</f>
        <v/>
      </c>
      <c r="AI14" s="156">
        <f>AI6*(Assumptions!B30+Assumptions!B31*2)</f>
        <v/>
      </c>
      <c r="AJ14" s="156">
        <f>AJ6*(Assumptions!B30+Assumptions!B31*2)</f>
        <v/>
      </c>
      <c r="AK14" s="156">
        <f>AK6*(Assumptions!B30+Assumptions!B31*2)</f>
        <v/>
      </c>
      <c r="AL14" s="156">
        <f>AL6*(Assumptions!B30+Assumptions!B31*2)</f>
        <v/>
      </c>
      <c r="AM14" s="156">
        <f>AM6*(Assumptions!B30+Assumptions!B31*3)</f>
        <v/>
      </c>
      <c r="AN14" s="156">
        <f>AN6*(Assumptions!B30+Assumptions!B31*3)</f>
        <v/>
      </c>
      <c r="AO14" s="156">
        <f>AO6*(Assumptions!B30+Assumptions!B31*3)</f>
        <v/>
      </c>
      <c r="AP14" s="156">
        <f>AP6*(Assumptions!B30+Assumptions!B31*3)</f>
        <v/>
      </c>
      <c r="AQ14" s="156">
        <f>AQ6*(Assumptions!B30+Assumptions!B31*3)</f>
        <v/>
      </c>
      <c r="AR14" s="156">
        <f>AR6*(Assumptions!B30+Assumptions!B31*3)</f>
        <v/>
      </c>
      <c r="AS14" s="156">
        <f>AS6*(Assumptions!B30+Assumptions!B31*3)</f>
        <v/>
      </c>
      <c r="AT14" s="156">
        <f>AT6*(Assumptions!B30+Assumptions!B31*3)</f>
        <v/>
      </c>
      <c r="AU14" s="156">
        <f>AU6*(Assumptions!B30+Assumptions!B31*3)</f>
        <v/>
      </c>
      <c r="AV14" s="156">
        <f>AV6*(Assumptions!B30+Assumptions!B31*3)</f>
        <v/>
      </c>
      <c r="AW14" s="156">
        <f>AW6*(Assumptions!B30+Assumptions!B31*3)</f>
        <v/>
      </c>
      <c r="AX14" s="156">
        <f>AX6*(Assumptions!B30+Assumptions!B31*3)</f>
        <v/>
      </c>
      <c r="AY14" s="156">
        <f>AY6*(Assumptions!B30+Assumptions!B31*4)</f>
        <v/>
      </c>
      <c r="AZ14" s="156">
        <f>AZ6*(Assumptions!B30+Assumptions!B31*4)</f>
        <v/>
      </c>
      <c r="BA14" s="156">
        <f>BA6*(Assumptions!B30+Assumptions!B31*4)</f>
        <v/>
      </c>
      <c r="BB14" s="156">
        <f>BB6*(Assumptions!B30+Assumptions!B31*4)</f>
        <v/>
      </c>
      <c r="BC14" s="156">
        <f>BC6*(Assumptions!B30+Assumptions!B31*4)</f>
        <v/>
      </c>
      <c r="BD14" s="156">
        <f>BD6*(Assumptions!B30+Assumptions!B31*4)</f>
        <v/>
      </c>
      <c r="BE14" s="156">
        <f>BE6*(Assumptions!B30+Assumptions!B31*4)</f>
        <v/>
      </c>
      <c r="BF14" s="156">
        <f>BF6*(Assumptions!B30+Assumptions!B31*4)</f>
        <v/>
      </c>
      <c r="BG14" s="156">
        <f>BG6*(Assumptions!B30+Assumptions!B31*4)</f>
        <v/>
      </c>
      <c r="BH14" s="156">
        <f>BH6*(Assumptions!B30+Assumptions!B31*4)</f>
        <v/>
      </c>
      <c r="BI14" s="156">
        <f>BI6*(Assumptions!B30+Assumptions!B31*4)</f>
        <v/>
      </c>
      <c r="BJ14" s="156">
        <f>BJ6*(Assumptions!B30+Assumptions!B31*4)</f>
        <v/>
      </c>
      <c r="BL14" s="157">
        <f>C14+D14+E14+F14+G14+H14+I14+J14+K14+L14+M14+N14</f>
        <v/>
      </c>
      <c r="BM14" s="157">
        <f>O14+P14+Q14+R14+S14+T14+U14+V14+W14+X14+Y14+Z14</f>
        <v/>
      </c>
      <c r="BN14" s="157">
        <f>AA14+AB14+AC14+AD14+AE14+AF14+AG14+AH14+AI14+AJ14+AK14+AL14</f>
        <v/>
      </c>
      <c r="BO14" s="157">
        <f>AM14+AN14+AO14+AP14+AQ14+AR14+AS14+AT14+AU14+AV14+AW14+AX14</f>
        <v/>
      </c>
      <c r="BP14" s="157">
        <f>AY14+AZ14+BA14+BB14+BC14+BD14+BE14+BF14+BG14+BH14+BI14+BJ14</f>
        <v/>
      </c>
    </row>
    <row r="15" ht="15" customHeight="1" s="104">
      <c r="A15" s="215" t="inlineStr">
        <is>
          <t xml:space="preserve">    % of Revenue</t>
        </is>
      </c>
      <c r="C15" s="216">
        <f>IF(C6=0,0,C14/C6)</f>
        <v/>
      </c>
      <c r="D15" s="216">
        <f>IF(D6=0,0,D14/D6)</f>
        <v/>
      </c>
      <c r="E15" s="216">
        <f>IF(E6=0,0,E14/E6)</f>
        <v/>
      </c>
      <c r="F15" s="216">
        <f>IF(F6=0,0,F14/F6)</f>
        <v/>
      </c>
      <c r="G15" s="216">
        <f>IF(G6=0,0,G14/G6)</f>
        <v/>
      </c>
      <c r="H15" s="216">
        <f>IF(H6=0,0,H14/H6)</f>
        <v/>
      </c>
      <c r="I15" s="216">
        <f>IF(I6=0,0,I14/I6)</f>
        <v/>
      </c>
      <c r="J15" s="216">
        <f>IF(J6=0,0,J14/J6)</f>
        <v/>
      </c>
      <c r="K15" s="216">
        <f>IF(K6=0,0,K14/K6)</f>
        <v/>
      </c>
      <c r="L15" s="216">
        <f>IF(L6=0,0,L14/L6)</f>
        <v/>
      </c>
      <c r="M15" s="216">
        <f>IF(M6=0,0,M14/M6)</f>
        <v/>
      </c>
      <c r="N15" s="216">
        <f>IF(N6=0,0,N14/N6)</f>
        <v/>
      </c>
      <c r="O15" s="216">
        <f>IF(O6=0,0,O14/O6)</f>
        <v/>
      </c>
      <c r="P15" s="216">
        <f>IF(P6=0,0,P14/P6)</f>
        <v/>
      </c>
      <c r="Q15" s="216">
        <f>IF(Q6=0,0,Q14/Q6)</f>
        <v/>
      </c>
      <c r="R15" s="216">
        <f>IF(R6=0,0,R14/R6)</f>
        <v/>
      </c>
      <c r="S15" s="216">
        <f>IF(S6=0,0,S14/S6)</f>
        <v/>
      </c>
      <c r="T15" s="216">
        <f>IF(T6=0,0,T14/T6)</f>
        <v/>
      </c>
      <c r="U15" s="216">
        <f>IF(U6=0,0,U14/U6)</f>
        <v/>
      </c>
      <c r="V15" s="216">
        <f>IF(V6=0,0,V14/V6)</f>
        <v/>
      </c>
      <c r="W15" s="216">
        <f>IF(W6=0,0,W14/W6)</f>
        <v/>
      </c>
      <c r="X15" s="216">
        <f>IF(X6=0,0,X14/X6)</f>
        <v/>
      </c>
      <c r="Y15" s="216">
        <f>IF(Y6=0,0,Y14/Y6)</f>
        <v/>
      </c>
      <c r="Z15" s="216">
        <f>IF(Z6=0,0,Z14/Z6)</f>
        <v/>
      </c>
      <c r="AA15" s="216">
        <f>IF(AA6=0,0,AA14/AA6)</f>
        <v/>
      </c>
      <c r="AB15" s="216">
        <f>IF(AB6=0,0,AB14/AB6)</f>
        <v/>
      </c>
      <c r="AC15" s="216">
        <f>IF(AC6=0,0,AC14/AC6)</f>
        <v/>
      </c>
      <c r="AD15" s="216">
        <f>IF(AD6=0,0,AD14/AD6)</f>
        <v/>
      </c>
      <c r="AE15" s="216">
        <f>IF(AE6=0,0,AE14/AE6)</f>
        <v/>
      </c>
      <c r="AF15" s="216">
        <f>IF(AF6=0,0,AF14/AF6)</f>
        <v/>
      </c>
      <c r="AG15" s="216">
        <f>IF(AG6=0,0,AG14/AG6)</f>
        <v/>
      </c>
      <c r="AH15" s="216">
        <f>IF(AH6=0,0,AH14/AH6)</f>
        <v/>
      </c>
      <c r="AI15" s="216">
        <f>IF(AI6=0,0,AI14/AI6)</f>
        <v/>
      </c>
      <c r="AJ15" s="216">
        <f>IF(AJ6=0,0,AJ14/AJ6)</f>
        <v/>
      </c>
      <c r="AK15" s="216">
        <f>IF(AK6=0,0,AK14/AK6)</f>
        <v/>
      </c>
      <c r="AL15" s="216">
        <f>IF(AL6=0,0,AL14/AL6)</f>
        <v/>
      </c>
      <c r="AM15" s="216">
        <f>IF(AM6=0,0,AM14/AM6)</f>
        <v/>
      </c>
      <c r="AN15" s="216">
        <f>IF(AN6=0,0,AN14/AN6)</f>
        <v/>
      </c>
      <c r="AO15" s="216">
        <f>IF(AO6=0,0,AO14/AO6)</f>
        <v/>
      </c>
      <c r="AP15" s="216">
        <f>IF(AP6=0,0,AP14/AP6)</f>
        <v/>
      </c>
      <c r="AQ15" s="216">
        <f>IF(AQ6=0,0,AQ14/AQ6)</f>
        <v/>
      </c>
      <c r="AR15" s="216">
        <f>IF(AR6=0,0,AR14/AR6)</f>
        <v/>
      </c>
      <c r="AS15" s="216">
        <f>IF(AS6=0,0,AS14/AS6)</f>
        <v/>
      </c>
      <c r="AT15" s="216">
        <f>IF(AT6=0,0,AT14/AT6)</f>
        <v/>
      </c>
      <c r="AU15" s="216">
        <f>IF(AU6=0,0,AU14/AU6)</f>
        <v/>
      </c>
      <c r="AV15" s="216">
        <f>IF(AV6=0,0,AV14/AV6)</f>
        <v/>
      </c>
      <c r="AW15" s="216">
        <f>IF(AW6=0,0,AW14/AW6)</f>
        <v/>
      </c>
      <c r="AX15" s="216">
        <f>IF(AX6=0,0,AX14/AX6)</f>
        <v/>
      </c>
      <c r="AY15" s="216">
        <f>IF(AY6=0,0,AY14/AY6)</f>
        <v/>
      </c>
      <c r="AZ15" s="216">
        <f>IF(AZ6=0,0,AZ14/AZ6)</f>
        <v/>
      </c>
      <c r="BA15" s="216">
        <f>IF(BA6=0,0,BA14/BA6)</f>
        <v/>
      </c>
      <c r="BB15" s="216">
        <f>IF(BB6=0,0,BB14/BB6)</f>
        <v/>
      </c>
      <c r="BC15" s="216">
        <f>IF(BC6=0,0,BC14/BC6)</f>
        <v/>
      </c>
      <c r="BD15" s="216">
        <f>IF(BD6=0,0,BD14/BD6)</f>
        <v/>
      </c>
      <c r="BE15" s="216">
        <f>IF(BE6=0,0,BE14/BE6)</f>
        <v/>
      </c>
      <c r="BF15" s="216">
        <f>IF(BF6=0,0,BF14/BF6)</f>
        <v/>
      </c>
      <c r="BG15" s="216">
        <f>IF(BG6=0,0,BG14/BG6)</f>
        <v/>
      </c>
      <c r="BH15" s="216">
        <f>IF(BH6=0,0,BH14/BH6)</f>
        <v/>
      </c>
      <c r="BI15" s="216">
        <f>IF(BI6=0,0,BI14/BI6)</f>
        <v/>
      </c>
      <c r="BJ15" s="216">
        <f>IF(BJ6=0,0,BJ14/BJ6)</f>
        <v/>
      </c>
      <c r="BL15" s="217">
        <f>IF((C6+D6+E6+F6+G6+H6+I6+J6+K6+L6+M6+N6)=0,0,(C14+D14+E14+F14+G14+H14+I14+J14+K14+L14+M14+N14)/(C6+D6+E6+F6+G6+H6+I6+J6+K6+L6+M6+N6))</f>
        <v/>
      </c>
      <c r="BM15" s="217">
        <f>IF((O6+P6+Q6+R6+S6+T6+U6+V6+W6+X6+Y6+Z6)=0,0,(O14+P14+Q14+R14+S14+T14+U14+V14+W14+X14+Y14+Z14)/(O6+P6+Q6+R6+S6+T6+U6+V6+W6+X6+Y6+Z6))</f>
        <v/>
      </c>
      <c r="BN15" s="217">
        <f>IF((AA6+AB6+AC6+AD6+AE6+AF6+AG6+AH6+AI6+AJ6+AK6+AL6)=0,0,(AA14+AB14+AC14+AD14+AE14+AF14+AG14+AH14+AI14+AJ14+AK14+AL14)/(AA6+AB6+AC6+AD6+AE6+AF6+AG6+AH6+AI6+AJ6+AK6+AL6))</f>
        <v/>
      </c>
      <c r="BO15" s="217">
        <f>IF((AM6+AN6+AO6+AP6+AQ6+AR6+AS6+AT6+AU6+AV6+AW6+AX6)=0,0,(AM14+AN14+AO14+AP14+AQ14+AR14+AS14+AT14+AU14+AV14+AW14+AX14)/(AM6+AN6+AO6+AP6+AQ6+AR6+AS6+AT6+AU6+AV6+AW6+AX6))</f>
        <v/>
      </c>
      <c r="BP15" s="217">
        <f>IF((AY6+AZ6+BA6+BB6+BC6+BD6+BE6+BF6+BG6+BH6+BI6+BJ6)=0,0,(AY14+AZ14+BA14+BB14+BC14+BD14+BE14+BF14+BG14+BH14+BI14+BJ14)/(AY6+AZ6+BA6+BB6+BC6+BD6+BE6+BF6+BG6+BH6+BI6+BJ6))</f>
        <v/>
      </c>
    </row>
    <row r="16" ht="15" customHeight="1" s="104">
      <c r="A16" s="107" t="inlineStr">
        <is>
          <t>Insurance</t>
        </is>
      </c>
      <c r="C16" s="156">
        <f>C6*(Assumptions!B32+Assumptions!B33*0)</f>
        <v/>
      </c>
      <c r="D16" s="156">
        <f>D6*(Assumptions!B32+Assumptions!B33*0)</f>
        <v/>
      </c>
      <c r="E16" s="156">
        <f>E6*(Assumptions!B32+Assumptions!B33*0)</f>
        <v/>
      </c>
      <c r="F16" s="156">
        <f>F6*(Assumptions!B32+Assumptions!B33*0)</f>
        <v/>
      </c>
      <c r="G16" s="156">
        <f>G6*(Assumptions!B32+Assumptions!B33*0)</f>
        <v/>
      </c>
      <c r="H16" s="156">
        <f>H6*(Assumptions!B32+Assumptions!B33*0)</f>
        <v/>
      </c>
      <c r="I16" s="156">
        <f>I6*(Assumptions!B32+Assumptions!B33*0)</f>
        <v/>
      </c>
      <c r="J16" s="156">
        <f>J6*(Assumptions!B32+Assumptions!B33*0)</f>
        <v/>
      </c>
      <c r="K16" s="156">
        <f>K6*(Assumptions!B32+Assumptions!B33*0)</f>
        <v/>
      </c>
      <c r="L16" s="156">
        <f>L6*(Assumptions!B32+Assumptions!B33*0)</f>
        <v/>
      </c>
      <c r="M16" s="156">
        <f>M6*(Assumptions!B32+Assumptions!B33*0)</f>
        <v/>
      </c>
      <c r="N16" s="156">
        <f>N6*(Assumptions!B32+Assumptions!B33*0)</f>
        <v/>
      </c>
      <c r="O16" s="156">
        <f>O6*(Assumptions!B32+Assumptions!B33*1)</f>
        <v/>
      </c>
      <c r="P16" s="156">
        <f>P6*(Assumptions!B32+Assumptions!B33*1)</f>
        <v/>
      </c>
      <c r="Q16" s="156">
        <f>Q6*(Assumptions!B32+Assumptions!B33*1)</f>
        <v/>
      </c>
      <c r="R16" s="156">
        <f>R6*(Assumptions!B32+Assumptions!B33*1)</f>
        <v/>
      </c>
      <c r="S16" s="156">
        <f>S6*(Assumptions!B32+Assumptions!B33*1)</f>
        <v/>
      </c>
      <c r="T16" s="156">
        <f>T6*(Assumptions!B32+Assumptions!B33*1)</f>
        <v/>
      </c>
      <c r="U16" s="156">
        <f>U6*(Assumptions!B32+Assumptions!B33*1)</f>
        <v/>
      </c>
      <c r="V16" s="156">
        <f>V6*(Assumptions!B32+Assumptions!B33*1)</f>
        <v/>
      </c>
      <c r="W16" s="156">
        <f>W6*(Assumptions!B32+Assumptions!B33*1)</f>
        <v/>
      </c>
      <c r="X16" s="156">
        <f>X6*(Assumptions!B32+Assumptions!B33*1)</f>
        <v/>
      </c>
      <c r="Y16" s="156">
        <f>Y6*(Assumptions!B32+Assumptions!B33*1)</f>
        <v/>
      </c>
      <c r="Z16" s="156">
        <f>Z6*(Assumptions!B32+Assumptions!B33*1)</f>
        <v/>
      </c>
      <c r="AA16" s="156">
        <f>AA6*(Assumptions!B32+Assumptions!B33*2)</f>
        <v/>
      </c>
      <c r="AB16" s="156">
        <f>AB6*(Assumptions!B32+Assumptions!B33*2)</f>
        <v/>
      </c>
      <c r="AC16" s="156">
        <f>AC6*(Assumptions!B32+Assumptions!B33*2)</f>
        <v/>
      </c>
      <c r="AD16" s="156">
        <f>AD6*(Assumptions!B32+Assumptions!B33*2)</f>
        <v/>
      </c>
      <c r="AE16" s="156">
        <f>AE6*(Assumptions!B32+Assumptions!B33*2)</f>
        <v/>
      </c>
      <c r="AF16" s="156">
        <f>AF6*(Assumptions!B32+Assumptions!B33*2)</f>
        <v/>
      </c>
      <c r="AG16" s="156">
        <f>AG6*(Assumptions!B32+Assumptions!B33*2)</f>
        <v/>
      </c>
      <c r="AH16" s="156">
        <f>AH6*(Assumptions!B32+Assumptions!B33*2)</f>
        <v/>
      </c>
      <c r="AI16" s="156">
        <f>AI6*(Assumptions!B32+Assumptions!B33*2)</f>
        <v/>
      </c>
      <c r="AJ16" s="156">
        <f>AJ6*(Assumptions!B32+Assumptions!B33*2)</f>
        <v/>
      </c>
      <c r="AK16" s="156">
        <f>AK6*(Assumptions!B32+Assumptions!B33*2)</f>
        <v/>
      </c>
      <c r="AL16" s="156">
        <f>AL6*(Assumptions!B32+Assumptions!B33*2)</f>
        <v/>
      </c>
      <c r="AM16" s="156">
        <f>AM6*(Assumptions!B32+Assumptions!B33*3)</f>
        <v/>
      </c>
      <c r="AN16" s="156">
        <f>AN6*(Assumptions!B32+Assumptions!B33*3)</f>
        <v/>
      </c>
      <c r="AO16" s="156">
        <f>AO6*(Assumptions!B32+Assumptions!B33*3)</f>
        <v/>
      </c>
      <c r="AP16" s="156">
        <f>AP6*(Assumptions!B32+Assumptions!B33*3)</f>
        <v/>
      </c>
      <c r="AQ16" s="156">
        <f>AQ6*(Assumptions!B32+Assumptions!B33*3)</f>
        <v/>
      </c>
      <c r="AR16" s="156">
        <f>AR6*(Assumptions!B32+Assumptions!B33*3)</f>
        <v/>
      </c>
      <c r="AS16" s="156">
        <f>AS6*(Assumptions!B32+Assumptions!B33*3)</f>
        <v/>
      </c>
      <c r="AT16" s="156">
        <f>AT6*(Assumptions!B32+Assumptions!B33*3)</f>
        <v/>
      </c>
      <c r="AU16" s="156">
        <f>AU6*(Assumptions!B32+Assumptions!B33*3)</f>
        <v/>
      </c>
      <c r="AV16" s="156">
        <f>AV6*(Assumptions!B32+Assumptions!B33*3)</f>
        <v/>
      </c>
      <c r="AW16" s="156">
        <f>AW6*(Assumptions!B32+Assumptions!B33*3)</f>
        <v/>
      </c>
      <c r="AX16" s="156">
        <f>AX6*(Assumptions!B32+Assumptions!B33*3)</f>
        <v/>
      </c>
      <c r="AY16" s="156">
        <f>AY6*(Assumptions!B32+Assumptions!B33*4)</f>
        <v/>
      </c>
      <c r="AZ16" s="156">
        <f>AZ6*(Assumptions!B32+Assumptions!B33*4)</f>
        <v/>
      </c>
      <c r="BA16" s="156">
        <f>BA6*(Assumptions!B32+Assumptions!B33*4)</f>
        <v/>
      </c>
      <c r="BB16" s="156">
        <f>BB6*(Assumptions!B32+Assumptions!B33*4)</f>
        <v/>
      </c>
      <c r="BC16" s="156">
        <f>BC6*(Assumptions!B32+Assumptions!B33*4)</f>
        <v/>
      </c>
      <c r="BD16" s="156">
        <f>BD6*(Assumptions!B32+Assumptions!B33*4)</f>
        <v/>
      </c>
      <c r="BE16" s="156">
        <f>BE6*(Assumptions!B32+Assumptions!B33*4)</f>
        <v/>
      </c>
      <c r="BF16" s="156">
        <f>BF6*(Assumptions!B32+Assumptions!B33*4)</f>
        <v/>
      </c>
      <c r="BG16" s="156">
        <f>BG6*(Assumptions!B32+Assumptions!B33*4)</f>
        <v/>
      </c>
      <c r="BH16" s="156">
        <f>BH6*(Assumptions!B32+Assumptions!B33*4)</f>
        <v/>
      </c>
      <c r="BI16" s="156">
        <f>BI6*(Assumptions!B32+Assumptions!B33*4)</f>
        <v/>
      </c>
      <c r="BJ16" s="156">
        <f>BJ6*(Assumptions!B32+Assumptions!B33*4)</f>
        <v/>
      </c>
      <c r="BL16" s="157">
        <f>C16+D16+E16+F16+G16+H16+I16+J16+K16+L16+M16+N16</f>
        <v/>
      </c>
      <c r="BM16" s="157">
        <f>O16+P16+Q16+R16+S16+T16+U16+V16+W16+X16+Y16+Z16</f>
        <v/>
      </c>
      <c r="BN16" s="157">
        <f>AA16+AB16+AC16+AD16+AE16+AF16+AG16+AH16+AI16+AJ16+AK16+AL16</f>
        <v/>
      </c>
      <c r="BO16" s="157">
        <f>AM16+AN16+AO16+AP16+AQ16+AR16+AS16+AT16+AU16+AV16+AW16+AX16</f>
        <v/>
      </c>
      <c r="BP16" s="157">
        <f>AY16+AZ16+BA16+BB16+BC16+BD16+BE16+BF16+BG16+BH16+BI16+BJ16</f>
        <v/>
      </c>
    </row>
    <row r="17" ht="15" customHeight="1" s="104">
      <c r="A17" s="215" t="inlineStr">
        <is>
          <t xml:space="preserve">    % of Revenue</t>
        </is>
      </c>
      <c r="C17" s="216">
        <f>IF(C6=0,0,C16/C6)</f>
        <v/>
      </c>
      <c r="D17" s="216">
        <f>IF(D6=0,0,D16/D6)</f>
        <v/>
      </c>
      <c r="E17" s="216">
        <f>IF(E6=0,0,E16/E6)</f>
        <v/>
      </c>
      <c r="F17" s="216">
        <f>IF(F6=0,0,F16/F6)</f>
        <v/>
      </c>
      <c r="G17" s="216">
        <f>IF(G6=0,0,G16/G6)</f>
        <v/>
      </c>
      <c r="H17" s="216">
        <f>IF(H6=0,0,H16/H6)</f>
        <v/>
      </c>
      <c r="I17" s="216">
        <f>IF(I6=0,0,I16/I6)</f>
        <v/>
      </c>
      <c r="J17" s="216">
        <f>IF(J6=0,0,J16/J6)</f>
        <v/>
      </c>
      <c r="K17" s="216">
        <f>IF(K6=0,0,K16/K6)</f>
        <v/>
      </c>
      <c r="L17" s="216">
        <f>IF(L6=0,0,L16/L6)</f>
        <v/>
      </c>
      <c r="M17" s="216">
        <f>IF(M6=0,0,M16/M6)</f>
        <v/>
      </c>
      <c r="N17" s="216">
        <f>IF(N6=0,0,N16/N6)</f>
        <v/>
      </c>
      <c r="O17" s="216">
        <f>IF(O6=0,0,O16/O6)</f>
        <v/>
      </c>
      <c r="P17" s="216">
        <f>IF(P6=0,0,P16/P6)</f>
        <v/>
      </c>
      <c r="Q17" s="216">
        <f>IF(Q6=0,0,Q16/Q6)</f>
        <v/>
      </c>
      <c r="R17" s="216">
        <f>IF(R6=0,0,R16/R6)</f>
        <v/>
      </c>
      <c r="S17" s="216">
        <f>IF(S6=0,0,S16/S6)</f>
        <v/>
      </c>
      <c r="T17" s="216">
        <f>IF(T6=0,0,T16/T6)</f>
        <v/>
      </c>
      <c r="U17" s="216">
        <f>IF(U6=0,0,U16/U6)</f>
        <v/>
      </c>
      <c r="V17" s="216">
        <f>IF(V6=0,0,V16/V6)</f>
        <v/>
      </c>
      <c r="W17" s="216">
        <f>IF(W6=0,0,W16/W6)</f>
        <v/>
      </c>
      <c r="X17" s="216">
        <f>IF(X6=0,0,X16/X6)</f>
        <v/>
      </c>
      <c r="Y17" s="216">
        <f>IF(Y6=0,0,Y16/Y6)</f>
        <v/>
      </c>
      <c r="Z17" s="216">
        <f>IF(Z6=0,0,Z16/Z6)</f>
        <v/>
      </c>
      <c r="AA17" s="216">
        <f>IF(AA6=0,0,AA16/AA6)</f>
        <v/>
      </c>
      <c r="AB17" s="216">
        <f>IF(AB6=0,0,AB16/AB6)</f>
        <v/>
      </c>
      <c r="AC17" s="216">
        <f>IF(AC6=0,0,AC16/AC6)</f>
        <v/>
      </c>
      <c r="AD17" s="216">
        <f>IF(AD6=0,0,AD16/AD6)</f>
        <v/>
      </c>
      <c r="AE17" s="216">
        <f>IF(AE6=0,0,AE16/AE6)</f>
        <v/>
      </c>
      <c r="AF17" s="216">
        <f>IF(AF6=0,0,AF16/AF6)</f>
        <v/>
      </c>
      <c r="AG17" s="216">
        <f>IF(AG6=0,0,AG16/AG6)</f>
        <v/>
      </c>
      <c r="AH17" s="216">
        <f>IF(AH6=0,0,AH16/AH6)</f>
        <v/>
      </c>
      <c r="AI17" s="216">
        <f>IF(AI6=0,0,AI16/AI6)</f>
        <v/>
      </c>
      <c r="AJ17" s="216">
        <f>IF(AJ6=0,0,AJ16/AJ6)</f>
        <v/>
      </c>
      <c r="AK17" s="216">
        <f>IF(AK6=0,0,AK16/AK6)</f>
        <v/>
      </c>
      <c r="AL17" s="216">
        <f>IF(AL6=0,0,AL16/AL6)</f>
        <v/>
      </c>
      <c r="AM17" s="216">
        <f>IF(AM6=0,0,AM16/AM6)</f>
        <v/>
      </c>
      <c r="AN17" s="216">
        <f>IF(AN6=0,0,AN16/AN6)</f>
        <v/>
      </c>
      <c r="AO17" s="216">
        <f>IF(AO6=0,0,AO16/AO6)</f>
        <v/>
      </c>
      <c r="AP17" s="216">
        <f>IF(AP6=0,0,AP16/AP6)</f>
        <v/>
      </c>
      <c r="AQ17" s="216">
        <f>IF(AQ6=0,0,AQ16/AQ6)</f>
        <v/>
      </c>
      <c r="AR17" s="216">
        <f>IF(AR6=0,0,AR16/AR6)</f>
        <v/>
      </c>
      <c r="AS17" s="216">
        <f>IF(AS6=0,0,AS16/AS6)</f>
        <v/>
      </c>
      <c r="AT17" s="216">
        <f>IF(AT6=0,0,AT16/AT6)</f>
        <v/>
      </c>
      <c r="AU17" s="216">
        <f>IF(AU6=0,0,AU16/AU6)</f>
        <v/>
      </c>
      <c r="AV17" s="216">
        <f>IF(AV6=0,0,AV16/AV6)</f>
        <v/>
      </c>
      <c r="AW17" s="216">
        <f>IF(AW6=0,0,AW16/AW6)</f>
        <v/>
      </c>
      <c r="AX17" s="216">
        <f>IF(AX6=0,0,AX16/AX6)</f>
        <v/>
      </c>
      <c r="AY17" s="216">
        <f>IF(AY6=0,0,AY16/AY6)</f>
        <v/>
      </c>
      <c r="AZ17" s="216">
        <f>IF(AZ6=0,0,AZ16/AZ6)</f>
        <v/>
      </c>
      <c r="BA17" s="216">
        <f>IF(BA6=0,0,BA16/BA6)</f>
        <v/>
      </c>
      <c r="BB17" s="216">
        <f>IF(BB6=0,0,BB16/BB6)</f>
        <v/>
      </c>
      <c r="BC17" s="216">
        <f>IF(BC6=0,0,BC16/BC6)</f>
        <v/>
      </c>
      <c r="BD17" s="216">
        <f>IF(BD6=0,0,BD16/BD6)</f>
        <v/>
      </c>
      <c r="BE17" s="216">
        <f>IF(BE6=0,0,BE16/BE6)</f>
        <v/>
      </c>
      <c r="BF17" s="216">
        <f>IF(BF6=0,0,BF16/BF6)</f>
        <v/>
      </c>
      <c r="BG17" s="216">
        <f>IF(BG6=0,0,BG16/BG6)</f>
        <v/>
      </c>
      <c r="BH17" s="216">
        <f>IF(BH6=0,0,BH16/BH6)</f>
        <v/>
      </c>
      <c r="BI17" s="216">
        <f>IF(BI6=0,0,BI16/BI6)</f>
        <v/>
      </c>
      <c r="BJ17" s="216">
        <f>IF(BJ6=0,0,BJ16/BJ6)</f>
        <v/>
      </c>
      <c r="BL17" s="217">
        <f>IF((C6+D6+E6+F6+G6+H6+I6+J6+K6+L6+M6+N6)=0,0,(C16+D16+E16+F16+G16+H16+I16+J16+K16+L16+M16+N16)/(C6+D6+E6+F6+G6+H6+I6+J6+K6+L6+M6+N6))</f>
        <v/>
      </c>
      <c r="BM17" s="217">
        <f>IF((O6+P6+Q6+R6+S6+T6+U6+V6+W6+X6+Y6+Z6)=0,0,(O16+P16+Q16+R16+S16+T16+U16+V16+W16+X16+Y16+Z16)/(O6+P6+Q6+R6+S6+T6+U6+V6+W6+X6+Y6+Z6))</f>
        <v/>
      </c>
      <c r="BN17" s="217">
        <f>IF((AA6+AB6+AC6+AD6+AE6+AF6+AG6+AH6+AI6+AJ6+AK6+AL6)=0,0,(AA16+AB16+AC16+AD16+AE16+AF16+AG16+AH16+AI16+AJ16+AK16+AL16)/(AA6+AB6+AC6+AD6+AE6+AF6+AG6+AH6+AI6+AJ6+AK6+AL6))</f>
        <v/>
      </c>
      <c r="BO17" s="217">
        <f>IF((AM6+AN6+AO6+AP6+AQ6+AR6+AS6+AT6+AU6+AV6+AW6+AX6)=0,0,(AM16+AN16+AO16+AP16+AQ16+AR16+AS16+AT16+AU16+AV16+AW16+AX16)/(AM6+AN6+AO6+AP6+AQ6+AR6+AS6+AT6+AU6+AV6+AW6+AX6))</f>
        <v/>
      </c>
      <c r="BP17" s="217">
        <f>IF((AY6+AZ6+BA6+BB6+BC6+BD6+BE6+BF6+BG6+BH6+BI6+BJ6)=0,0,(AY16+AZ16+BA16+BB16+BC16+BD16+BE16+BF16+BG16+BH16+BI16+BJ16)/(AY6+AZ6+BA6+BB6+BC6+BD6+BE6+BF6+BG6+BH6+BI6+BJ6))</f>
        <v/>
      </c>
    </row>
    <row r="18" ht="15" customHeight="1" s="104">
      <c r="A18" s="107" t="inlineStr">
        <is>
          <t>Other Operating Expenses</t>
        </is>
      </c>
      <c r="C18" s="156">
        <f>C6*(Assumptions!B34+Assumptions!B35*0)</f>
        <v/>
      </c>
      <c r="D18" s="156">
        <f>D6*(Assumptions!B34+Assumptions!B35*0)</f>
        <v/>
      </c>
      <c r="E18" s="156">
        <f>E6*(Assumptions!B34+Assumptions!B35*0)</f>
        <v/>
      </c>
      <c r="F18" s="156">
        <f>F6*(Assumptions!B34+Assumptions!B35*0)</f>
        <v/>
      </c>
      <c r="G18" s="156">
        <f>G6*(Assumptions!B34+Assumptions!B35*0)</f>
        <v/>
      </c>
      <c r="H18" s="156">
        <f>H6*(Assumptions!B34+Assumptions!B35*0)</f>
        <v/>
      </c>
      <c r="I18" s="156">
        <f>I6*(Assumptions!B34+Assumptions!B35*0)</f>
        <v/>
      </c>
      <c r="J18" s="156">
        <f>J6*(Assumptions!B34+Assumptions!B35*0)</f>
        <v/>
      </c>
      <c r="K18" s="156">
        <f>K6*(Assumptions!B34+Assumptions!B35*0)</f>
        <v/>
      </c>
      <c r="L18" s="156">
        <f>L6*(Assumptions!B34+Assumptions!B35*0)</f>
        <v/>
      </c>
      <c r="M18" s="156">
        <f>M6*(Assumptions!B34+Assumptions!B35*0)</f>
        <v/>
      </c>
      <c r="N18" s="156">
        <f>N6*(Assumptions!B34+Assumptions!B35*0)</f>
        <v/>
      </c>
      <c r="O18" s="156">
        <f>O6*(Assumptions!B34+Assumptions!B35*1)</f>
        <v/>
      </c>
      <c r="P18" s="156">
        <f>P6*(Assumptions!B34+Assumptions!B35*1)</f>
        <v/>
      </c>
      <c r="Q18" s="156">
        <f>Q6*(Assumptions!B34+Assumptions!B35*1)</f>
        <v/>
      </c>
      <c r="R18" s="156">
        <f>R6*(Assumptions!B34+Assumptions!B35*1)</f>
        <v/>
      </c>
      <c r="S18" s="156">
        <f>S6*(Assumptions!B34+Assumptions!B35*1)</f>
        <v/>
      </c>
      <c r="T18" s="156">
        <f>T6*(Assumptions!B34+Assumptions!B35*1)</f>
        <v/>
      </c>
      <c r="U18" s="156">
        <f>U6*(Assumptions!B34+Assumptions!B35*1)</f>
        <v/>
      </c>
      <c r="V18" s="156">
        <f>V6*(Assumptions!B34+Assumptions!B35*1)</f>
        <v/>
      </c>
      <c r="W18" s="156">
        <f>W6*(Assumptions!B34+Assumptions!B35*1)</f>
        <v/>
      </c>
      <c r="X18" s="156">
        <f>X6*(Assumptions!B34+Assumptions!B35*1)</f>
        <v/>
      </c>
      <c r="Y18" s="156">
        <f>Y6*(Assumptions!B34+Assumptions!B35*1)</f>
        <v/>
      </c>
      <c r="Z18" s="156">
        <f>Z6*(Assumptions!B34+Assumptions!B35*1)</f>
        <v/>
      </c>
      <c r="AA18" s="156">
        <f>AA6*(Assumptions!B34+Assumptions!B35*2)</f>
        <v/>
      </c>
      <c r="AB18" s="156">
        <f>AB6*(Assumptions!B34+Assumptions!B35*2)</f>
        <v/>
      </c>
      <c r="AC18" s="156">
        <f>AC6*(Assumptions!B34+Assumptions!B35*2)</f>
        <v/>
      </c>
      <c r="AD18" s="156">
        <f>AD6*(Assumptions!B34+Assumptions!B35*2)</f>
        <v/>
      </c>
      <c r="AE18" s="156">
        <f>AE6*(Assumptions!B34+Assumptions!B35*2)</f>
        <v/>
      </c>
      <c r="AF18" s="156">
        <f>AF6*(Assumptions!B34+Assumptions!B35*2)</f>
        <v/>
      </c>
      <c r="AG18" s="156">
        <f>AG6*(Assumptions!B34+Assumptions!B35*2)</f>
        <v/>
      </c>
      <c r="AH18" s="156">
        <f>AH6*(Assumptions!B34+Assumptions!B35*2)</f>
        <v/>
      </c>
      <c r="AI18" s="156">
        <f>AI6*(Assumptions!B34+Assumptions!B35*2)</f>
        <v/>
      </c>
      <c r="AJ18" s="156">
        <f>AJ6*(Assumptions!B34+Assumptions!B35*2)</f>
        <v/>
      </c>
      <c r="AK18" s="156">
        <f>AK6*(Assumptions!B34+Assumptions!B35*2)</f>
        <v/>
      </c>
      <c r="AL18" s="156">
        <f>AL6*(Assumptions!B34+Assumptions!B35*2)</f>
        <v/>
      </c>
      <c r="AM18" s="156">
        <f>AM6*(Assumptions!B34+Assumptions!B35*3)</f>
        <v/>
      </c>
      <c r="AN18" s="156">
        <f>AN6*(Assumptions!B34+Assumptions!B35*3)</f>
        <v/>
      </c>
      <c r="AO18" s="156">
        <f>AO6*(Assumptions!B34+Assumptions!B35*3)</f>
        <v/>
      </c>
      <c r="AP18" s="156">
        <f>AP6*(Assumptions!B34+Assumptions!B35*3)</f>
        <v/>
      </c>
      <c r="AQ18" s="156">
        <f>AQ6*(Assumptions!B34+Assumptions!B35*3)</f>
        <v/>
      </c>
      <c r="AR18" s="156">
        <f>AR6*(Assumptions!B34+Assumptions!B35*3)</f>
        <v/>
      </c>
      <c r="AS18" s="156">
        <f>AS6*(Assumptions!B34+Assumptions!B35*3)</f>
        <v/>
      </c>
      <c r="AT18" s="156">
        <f>AT6*(Assumptions!B34+Assumptions!B35*3)</f>
        <v/>
      </c>
      <c r="AU18" s="156">
        <f>AU6*(Assumptions!B34+Assumptions!B35*3)</f>
        <v/>
      </c>
      <c r="AV18" s="156">
        <f>AV6*(Assumptions!B34+Assumptions!B35*3)</f>
        <v/>
      </c>
      <c r="AW18" s="156">
        <f>AW6*(Assumptions!B34+Assumptions!B35*3)</f>
        <v/>
      </c>
      <c r="AX18" s="156">
        <f>AX6*(Assumptions!B34+Assumptions!B35*3)</f>
        <v/>
      </c>
      <c r="AY18" s="156">
        <f>AY6*(Assumptions!B34+Assumptions!B35*4)</f>
        <v/>
      </c>
      <c r="AZ18" s="156">
        <f>AZ6*(Assumptions!B34+Assumptions!B35*4)</f>
        <v/>
      </c>
      <c r="BA18" s="156">
        <f>BA6*(Assumptions!B34+Assumptions!B35*4)</f>
        <v/>
      </c>
      <c r="BB18" s="156">
        <f>BB6*(Assumptions!B34+Assumptions!B35*4)</f>
        <v/>
      </c>
      <c r="BC18" s="156">
        <f>BC6*(Assumptions!B34+Assumptions!B35*4)</f>
        <v/>
      </c>
      <c r="BD18" s="156">
        <f>BD6*(Assumptions!B34+Assumptions!B35*4)</f>
        <v/>
      </c>
      <c r="BE18" s="156">
        <f>BE6*(Assumptions!B34+Assumptions!B35*4)</f>
        <v/>
      </c>
      <c r="BF18" s="156">
        <f>BF6*(Assumptions!B34+Assumptions!B35*4)</f>
        <v/>
      </c>
      <c r="BG18" s="156">
        <f>BG6*(Assumptions!B34+Assumptions!B35*4)</f>
        <v/>
      </c>
      <c r="BH18" s="156">
        <f>BH6*(Assumptions!B34+Assumptions!B35*4)</f>
        <v/>
      </c>
      <c r="BI18" s="156">
        <f>BI6*(Assumptions!B34+Assumptions!B35*4)</f>
        <v/>
      </c>
      <c r="BJ18" s="156">
        <f>BJ6*(Assumptions!B34+Assumptions!B35*4)</f>
        <v/>
      </c>
      <c r="BL18" s="157">
        <f>C18+D18+E18+F18+G18+H18+I18+J18+K18+L18+M18+N18</f>
        <v/>
      </c>
      <c r="BM18" s="157">
        <f>O18+P18+Q18+R18+S18+T18+U18+V18+W18+X18+Y18+Z18</f>
        <v/>
      </c>
      <c r="BN18" s="157">
        <f>AA18+AB18+AC18+AD18+AE18+AF18+AG18+AH18+AI18+AJ18+AK18+AL18</f>
        <v/>
      </c>
      <c r="BO18" s="157">
        <f>AM18+AN18+AO18+AP18+AQ18+AR18+AS18+AT18+AU18+AV18+AW18+AX18</f>
        <v/>
      </c>
      <c r="BP18" s="157">
        <f>AY18+AZ18+BA18+BB18+BC18+BD18+BE18+BF18+BG18+BH18+BI18+BJ18</f>
        <v/>
      </c>
    </row>
    <row r="19" ht="15" customHeight="1" s="104">
      <c r="A19" s="215" t="inlineStr">
        <is>
          <t xml:space="preserve">    % of Revenue</t>
        </is>
      </c>
      <c r="C19" s="216">
        <f>IF(C6=0,0,C18/C6)</f>
        <v/>
      </c>
      <c r="D19" s="216">
        <f>IF(D6=0,0,D18/D6)</f>
        <v/>
      </c>
      <c r="E19" s="216">
        <f>IF(E6=0,0,E18/E6)</f>
        <v/>
      </c>
      <c r="F19" s="216">
        <f>IF(F6=0,0,F18/F6)</f>
        <v/>
      </c>
      <c r="G19" s="216">
        <f>IF(G6=0,0,G18/G6)</f>
        <v/>
      </c>
      <c r="H19" s="216">
        <f>IF(H6=0,0,H18/H6)</f>
        <v/>
      </c>
      <c r="I19" s="216">
        <f>IF(I6=0,0,I18/I6)</f>
        <v/>
      </c>
      <c r="J19" s="216">
        <f>IF(J6=0,0,J18/J6)</f>
        <v/>
      </c>
      <c r="K19" s="216">
        <f>IF(K6=0,0,K18/K6)</f>
        <v/>
      </c>
      <c r="L19" s="216">
        <f>IF(L6=0,0,L18/L6)</f>
        <v/>
      </c>
      <c r="M19" s="216">
        <f>IF(M6=0,0,M18/M6)</f>
        <v/>
      </c>
      <c r="N19" s="216">
        <f>IF(N6=0,0,N18/N6)</f>
        <v/>
      </c>
      <c r="O19" s="216">
        <f>IF(O6=0,0,O18/O6)</f>
        <v/>
      </c>
      <c r="P19" s="216">
        <f>IF(P6=0,0,P18/P6)</f>
        <v/>
      </c>
      <c r="Q19" s="216">
        <f>IF(Q6=0,0,Q18/Q6)</f>
        <v/>
      </c>
      <c r="R19" s="216">
        <f>IF(R6=0,0,R18/R6)</f>
        <v/>
      </c>
      <c r="S19" s="216">
        <f>IF(S6=0,0,S18/S6)</f>
        <v/>
      </c>
      <c r="T19" s="216">
        <f>IF(T6=0,0,T18/T6)</f>
        <v/>
      </c>
      <c r="U19" s="216">
        <f>IF(U6=0,0,U18/U6)</f>
        <v/>
      </c>
      <c r="V19" s="216">
        <f>IF(V6=0,0,V18/V6)</f>
        <v/>
      </c>
      <c r="W19" s="216">
        <f>IF(W6=0,0,W18/W6)</f>
        <v/>
      </c>
      <c r="X19" s="216">
        <f>IF(X6=0,0,X18/X6)</f>
        <v/>
      </c>
      <c r="Y19" s="216">
        <f>IF(Y6=0,0,Y18/Y6)</f>
        <v/>
      </c>
      <c r="Z19" s="216">
        <f>IF(Z6=0,0,Z18/Z6)</f>
        <v/>
      </c>
      <c r="AA19" s="216">
        <f>IF(AA6=0,0,AA18/AA6)</f>
        <v/>
      </c>
      <c r="AB19" s="216">
        <f>IF(AB6=0,0,AB18/AB6)</f>
        <v/>
      </c>
      <c r="AC19" s="216">
        <f>IF(AC6=0,0,AC18/AC6)</f>
        <v/>
      </c>
      <c r="AD19" s="216">
        <f>IF(AD6=0,0,AD18/AD6)</f>
        <v/>
      </c>
      <c r="AE19" s="216">
        <f>IF(AE6=0,0,AE18/AE6)</f>
        <v/>
      </c>
      <c r="AF19" s="216">
        <f>IF(AF6=0,0,AF18/AF6)</f>
        <v/>
      </c>
      <c r="AG19" s="216">
        <f>IF(AG6=0,0,AG18/AG6)</f>
        <v/>
      </c>
      <c r="AH19" s="216">
        <f>IF(AH6=0,0,AH18/AH6)</f>
        <v/>
      </c>
      <c r="AI19" s="216">
        <f>IF(AI6=0,0,AI18/AI6)</f>
        <v/>
      </c>
      <c r="AJ19" s="216">
        <f>IF(AJ6=0,0,AJ18/AJ6)</f>
        <v/>
      </c>
      <c r="AK19" s="216">
        <f>IF(AK6=0,0,AK18/AK6)</f>
        <v/>
      </c>
      <c r="AL19" s="216">
        <f>IF(AL6=0,0,AL18/AL6)</f>
        <v/>
      </c>
      <c r="AM19" s="216">
        <f>IF(AM6=0,0,AM18/AM6)</f>
        <v/>
      </c>
      <c r="AN19" s="216">
        <f>IF(AN6=0,0,AN18/AN6)</f>
        <v/>
      </c>
      <c r="AO19" s="216">
        <f>IF(AO6=0,0,AO18/AO6)</f>
        <v/>
      </c>
      <c r="AP19" s="216">
        <f>IF(AP6=0,0,AP18/AP6)</f>
        <v/>
      </c>
      <c r="AQ19" s="216">
        <f>IF(AQ6=0,0,AQ18/AQ6)</f>
        <v/>
      </c>
      <c r="AR19" s="216">
        <f>IF(AR6=0,0,AR18/AR6)</f>
        <v/>
      </c>
      <c r="AS19" s="216">
        <f>IF(AS6=0,0,AS18/AS6)</f>
        <v/>
      </c>
      <c r="AT19" s="216">
        <f>IF(AT6=0,0,AT18/AT6)</f>
        <v/>
      </c>
      <c r="AU19" s="216">
        <f>IF(AU6=0,0,AU18/AU6)</f>
        <v/>
      </c>
      <c r="AV19" s="216">
        <f>IF(AV6=0,0,AV18/AV6)</f>
        <v/>
      </c>
      <c r="AW19" s="216">
        <f>IF(AW6=0,0,AW18/AW6)</f>
        <v/>
      </c>
      <c r="AX19" s="216">
        <f>IF(AX6=0,0,AX18/AX6)</f>
        <v/>
      </c>
      <c r="AY19" s="216">
        <f>IF(AY6=0,0,AY18/AY6)</f>
        <v/>
      </c>
      <c r="AZ19" s="216">
        <f>IF(AZ6=0,0,AZ18/AZ6)</f>
        <v/>
      </c>
      <c r="BA19" s="216">
        <f>IF(BA6=0,0,BA18/BA6)</f>
        <v/>
      </c>
      <c r="BB19" s="216">
        <f>IF(BB6=0,0,BB18/BB6)</f>
        <v/>
      </c>
      <c r="BC19" s="216">
        <f>IF(BC6=0,0,BC18/BC6)</f>
        <v/>
      </c>
      <c r="BD19" s="216">
        <f>IF(BD6=0,0,BD18/BD6)</f>
        <v/>
      </c>
      <c r="BE19" s="216">
        <f>IF(BE6=0,0,BE18/BE6)</f>
        <v/>
      </c>
      <c r="BF19" s="216">
        <f>IF(BF6=0,0,BF18/BF6)</f>
        <v/>
      </c>
      <c r="BG19" s="216">
        <f>IF(BG6=0,0,BG18/BG6)</f>
        <v/>
      </c>
      <c r="BH19" s="216">
        <f>IF(BH6=0,0,BH18/BH6)</f>
        <v/>
      </c>
      <c r="BI19" s="216">
        <f>IF(BI6=0,0,BI18/BI6)</f>
        <v/>
      </c>
      <c r="BJ19" s="216">
        <f>IF(BJ6=0,0,BJ18/BJ6)</f>
        <v/>
      </c>
      <c r="BL19" s="217">
        <f>IF((C6+D6+E6+F6+G6+H6+I6+J6+K6+L6+M6+N6)=0,0,(C18+D18+E18+F18+G18+H18+I18+J18+K18+L18+M18+N18)/(C6+D6+E6+F6+G6+H6+I6+J6+K6+L6+M6+N6))</f>
        <v/>
      </c>
      <c r="BM19" s="217">
        <f>IF((O6+P6+Q6+R6+S6+T6+U6+V6+W6+X6+Y6+Z6)=0,0,(O18+P18+Q18+R18+S18+T18+U18+V18+W18+X18+Y18+Z18)/(O6+P6+Q6+R6+S6+T6+U6+V6+W6+X6+Y6+Z6))</f>
        <v/>
      </c>
      <c r="BN19" s="217">
        <f>IF((AA6+AB6+AC6+AD6+AE6+AF6+AG6+AH6+AI6+AJ6+AK6+AL6)=0,0,(AA18+AB18+AC18+AD18+AE18+AF18+AG18+AH18+AI18+AJ18+AK18+AL18)/(AA6+AB6+AC6+AD6+AE6+AF6+AG6+AH6+AI6+AJ6+AK6+AL6))</f>
        <v/>
      </c>
      <c r="BO19" s="217">
        <f>IF((AM6+AN6+AO6+AP6+AQ6+AR6+AS6+AT6+AU6+AV6+AW6+AX6)=0,0,(AM18+AN18+AO18+AP18+AQ18+AR18+AS18+AT18+AU18+AV18+AW18+AX18)/(AM6+AN6+AO6+AP6+AQ6+AR6+AS6+AT6+AU6+AV6+AW6+AX6))</f>
        <v/>
      </c>
      <c r="BP19" s="217">
        <f>IF((AY6+AZ6+BA6+BB6+BC6+BD6+BE6+BF6+BG6+BH6+BI6+BJ6)=0,0,(AY18+AZ18+BA18+BB18+BC18+BD18+BE18+BF18+BG18+BH18+BI18+BJ18)/(AY6+AZ6+BA6+BB6+BC6+BD6+BE6+BF6+BG6+BH6+BI6+BJ6))</f>
        <v/>
      </c>
    </row>
    <row r="20" ht="15" customHeight="1" s="104">
      <c r="A20" s="116" t="inlineStr">
        <is>
          <t>Total Operating Expenses</t>
        </is>
      </c>
      <c r="C20" s="151">
        <f>C8+C10+C12+C14+C16+C18</f>
        <v/>
      </c>
      <c r="D20" s="151">
        <f>D8+D10+D12+D14+D16+D18</f>
        <v/>
      </c>
      <c r="E20" s="151">
        <f>E8+E10+E12+E14+E16+E18</f>
        <v/>
      </c>
      <c r="F20" s="151">
        <f>F8+F10+F12+F14+F16+F18</f>
        <v/>
      </c>
      <c r="G20" s="151">
        <f>G8+G10+G12+G14+G16+G18</f>
        <v/>
      </c>
      <c r="H20" s="151">
        <f>H8+H10+H12+H14+H16+H18</f>
        <v/>
      </c>
      <c r="I20" s="151">
        <f>I8+I10+I12+I14+I16+I18</f>
        <v/>
      </c>
      <c r="J20" s="151">
        <f>J8+J10+J12+J14+J16+J18</f>
        <v/>
      </c>
      <c r="K20" s="151">
        <f>K8+K10+K12+K14+K16+K18</f>
        <v/>
      </c>
      <c r="L20" s="151">
        <f>L8+L10+L12+L14+L16+L18</f>
        <v/>
      </c>
      <c r="M20" s="151">
        <f>M8+M10+M12+M14+M16+M18</f>
        <v/>
      </c>
      <c r="N20" s="151">
        <f>N8+N10+N12+N14+N16+N18</f>
        <v/>
      </c>
      <c r="O20" s="151">
        <f>O8+O10+O12+O14+O16+O18</f>
        <v/>
      </c>
      <c r="P20" s="151">
        <f>P8+P10+P12+P14+P16+P18</f>
        <v/>
      </c>
      <c r="Q20" s="151">
        <f>Q8+Q10+Q12+Q14+Q16+Q18</f>
        <v/>
      </c>
      <c r="R20" s="151">
        <f>R8+R10+R12+R14+R16+R18</f>
        <v/>
      </c>
      <c r="S20" s="151">
        <f>S8+S10+S12+S14+S16+S18</f>
        <v/>
      </c>
      <c r="T20" s="151">
        <f>T8+T10+T12+T14+T16+T18</f>
        <v/>
      </c>
      <c r="U20" s="151">
        <f>U8+U10+U12+U14+U16+U18</f>
        <v/>
      </c>
      <c r="V20" s="151">
        <f>V8+V10+V12+V14+V16+V18</f>
        <v/>
      </c>
      <c r="W20" s="151">
        <f>W8+W10+W12+W14+W16+W18</f>
        <v/>
      </c>
      <c r="X20" s="151">
        <f>X8+X10+X12+X14+X16+X18</f>
        <v/>
      </c>
      <c r="Y20" s="151">
        <f>Y8+Y10+Y12+Y14+Y16+Y18</f>
        <v/>
      </c>
      <c r="Z20" s="151">
        <f>Z8+Z10+Z12+Z14+Z16+Z18</f>
        <v/>
      </c>
      <c r="AA20" s="151">
        <f>AA8+AA10+AA12+AA14+AA16+AA18</f>
        <v/>
      </c>
      <c r="AB20" s="151">
        <f>AB8+AB10+AB12+AB14+AB16+AB18</f>
        <v/>
      </c>
      <c r="AC20" s="151">
        <f>AC8+AC10+AC12+AC14+AC16+AC18</f>
        <v/>
      </c>
      <c r="AD20" s="151">
        <f>AD8+AD10+AD12+AD14+AD16+AD18</f>
        <v/>
      </c>
      <c r="AE20" s="151">
        <f>AE8+AE10+AE12+AE14+AE16+AE18</f>
        <v/>
      </c>
      <c r="AF20" s="151">
        <f>AF8+AF10+AF12+AF14+AF16+AF18</f>
        <v/>
      </c>
      <c r="AG20" s="151">
        <f>AG8+AG10+AG12+AG14+AG16+AG18</f>
        <v/>
      </c>
      <c r="AH20" s="151">
        <f>AH8+AH10+AH12+AH14+AH16+AH18</f>
        <v/>
      </c>
      <c r="AI20" s="151">
        <f>AI8+AI10+AI12+AI14+AI16+AI18</f>
        <v/>
      </c>
      <c r="AJ20" s="151">
        <f>AJ8+AJ10+AJ12+AJ14+AJ16+AJ18</f>
        <v/>
      </c>
      <c r="AK20" s="151">
        <f>AK8+AK10+AK12+AK14+AK16+AK18</f>
        <v/>
      </c>
      <c r="AL20" s="151">
        <f>AL8+AL10+AL12+AL14+AL16+AL18</f>
        <v/>
      </c>
      <c r="AM20" s="151">
        <f>AM8+AM10+AM12+AM14+AM16+AM18</f>
        <v/>
      </c>
      <c r="AN20" s="151">
        <f>AN8+AN10+AN12+AN14+AN16+AN18</f>
        <v/>
      </c>
      <c r="AO20" s="151">
        <f>AO8+AO10+AO12+AO14+AO16+AO18</f>
        <v/>
      </c>
      <c r="AP20" s="151">
        <f>AP8+AP10+AP12+AP14+AP16+AP18</f>
        <v/>
      </c>
      <c r="AQ20" s="151">
        <f>AQ8+AQ10+AQ12+AQ14+AQ16+AQ18</f>
        <v/>
      </c>
      <c r="AR20" s="151">
        <f>AR8+AR10+AR12+AR14+AR16+AR18</f>
        <v/>
      </c>
      <c r="AS20" s="151">
        <f>AS8+AS10+AS12+AS14+AS16+AS18</f>
        <v/>
      </c>
      <c r="AT20" s="151">
        <f>AT8+AT10+AT12+AT14+AT16+AT18</f>
        <v/>
      </c>
      <c r="AU20" s="151">
        <f>AU8+AU10+AU12+AU14+AU16+AU18</f>
        <v/>
      </c>
      <c r="AV20" s="151">
        <f>AV8+AV10+AV12+AV14+AV16+AV18</f>
        <v/>
      </c>
      <c r="AW20" s="151">
        <f>AW8+AW10+AW12+AW14+AW16+AW18</f>
        <v/>
      </c>
      <c r="AX20" s="151">
        <f>AX8+AX10+AX12+AX14+AX16+AX18</f>
        <v/>
      </c>
      <c r="AY20" s="151">
        <f>AY8+AY10+AY12+AY14+AY16+AY18</f>
        <v/>
      </c>
      <c r="AZ20" s="151">
        <f>AZ8+AZ10+AZ12+AZ14+AZ16+AZ18</f>
        <v/>
      </c>
      <c r="BA20" s="151">
        <f>BA8+BA10+BA12+BA14+BA16+BA18</f>
        <v/>
      </c>
      <c r="BB20" s="151">
        <f>BB8+BB10+BB12+BB14+BB16+BB18</f>
        <v/>
      </c>
      <c r="BC20" s="151">
        <f>BC8+BC10+BC12+BC14+BC16+BC18</f>
        <v/>
      </c>
      <c r="BD20" s="151">
        <f>BD8+BD10+BD12+BD14+BD16+BD18</f>
        <v/>
      </c>
      <c r="BE20" s="151">
        <f>BE8+BE10+BE12+BE14+BE16+BE18</f>
        <v/>
      </c>
      <c r="BF20" s="151">
        <f>BF8+BF10+BF12+BF14+BF16+BF18</f>
        <v/>
      </c>
      <c r="BG20" s="151">
        <f>BG8+BG10+BG12+BG14+BG16+BG18</f>
        <v/>
      </c>
      <c r="BH20" s="151">
        <f>BH8+BH10+BH12+BH14+BH16+BH18</f>
        <v/>
      </c>
      <c r="BI20" s="151">
        <f>BI8+BI10+BI12+BI14+BI16+BI18</f>
        <v/>
      </c>
      <c r="BJ20" s="151">
        <f>BJ8+BJ10+BJ12+BJ14+BJ16+BJ18</f>
        <v/>
      </c>
      <c r="BL20" s="152">
        <f>C20+D20+E20+F20+G20+H20+I20+J20+K20+L20+M20+N20</f>
        <v/>
      </c>
      <c r="BM20" s="152">
        <f>O20+P20+Q20+R20+S20+T20+U20+V20+W20+X20+Y20+Z20</f>
        <v/>
      </c>
      <c r="BN20" s="152">
        <f>AA20+AB20+AC20+AD20+AE20+AF20+AG20+AH20+AI20+AJ20+AK20+AL20</f>
        <v/>
      </c>
      <c r="BO20" s="152">
        <f>AM20+AN20+AO20+AP20+AQ20+AR20+AS20+AT20+AU20+AV20+AW20+AX20</f>
        <v/>
      </c>
      <c r="BP20" s="152">
        <f>AY20+AZ20+BA20+BB20+BC20+BD20+BE20+BF20+BG20+BH20+BI20+BJ20</f>
        <v/>
      </c>
    </row>
    <row r="21" ht="15" customHeight="1" s="104">
      <c r="A21" s="106" t="inlineStr">
        <is>
          <t>EBITDA</t>
        </is>
      </c>
    </row>
    <row r="22" ht="15" customHeight="1" s="104">
      <c r="A22" s="116" t="inlineStr">
        <is>
          <t>EBITDA</t>
        </is>
      </c>
      <c r="C22" s="151">
        <f>C6-C20</f>
        <v/>
      </c>
      <c r="D22" s="151">
        <f>D6-D20</f>
        <v/>
      </c>
      <c r="E22" s="151">
        <f>E6-E20</f>
        <v/>
      </c>
      <c r="F22" s="151">
        <f>F6-F20</f>
        <v/>
      </c>
      <c r="G22" s="151">
        <f>G6-G20</f>
        <v/>
      </c>
      <c r="H22" s="151">
        <f>H6-H20</f>
        <v/>
      </c>
      <c r="I22" s="151">
        <f>I6-I20</f>
        <v/>
      </c>
      <c r="J22" s="151">
        <f>J6-J20</f>
        <v/>
      </c>
      <c r="K22" s="151">
        <f>K6-K20</f>
        <v/>
      </c>
      <c r="L22" s="151">
        <f>L6-L20</f>
        <v/>
      </c>
      <c r="M22" s="151">
        <f>M6-M20</f>
        <v/>
      </c>
      <c r="N22" s="151">
        <f>N6-N20</f>
        <v/>
      </c>
      <c r="O22" s="151">
        <f>O6-O20</f>
        <v/>
      </c>
      <c r="P22" s="151">
        <f>P6-P20</f>
        <v/>
      </c>
      <c r="Q22" s="151">
        <f>Q6-Q20</f>
        <v/>
      </c>
      <c r="R22" s="151">
        <f>R6-R20</f>
        <v/>
      </c>
      <c r="S22" s="151">
        <f>S6-S20</f>
        <v/>
      </c>
      <c r="T22" s="151">
        <f>T6-T20</f>
        <v/>
      </c>
      <c r="U22" s="151">
        <f>U6-U20</f>
        <v/>
      </c>
      <c r="V22" s="151">
        <f>V6-V20</f>
        <v/>
      </c>
      <c r="W22" s="151">
        <f>W6-W20</f>
        <v/>
      </c>
      <c r="X22" s="151">
        <f>X6-X20</f>
        <v/>
      </c>
      <c r="Y22" s="151">
        <f>Y6-Y20</f>
        <v/>
      </c>
      <c r="Z22" s="151">
        <f>Z6-Z20</f>
        <v/>
      </c>
      <c r="AA22" s="151">
        <f>AA6-AA20</f>
        <v/>
      </c>
      <c r="AB22" s="151">
        <f>AB6-AB20</f>
        <v/>
      </c>
      <c r="AC22" s="151">
        <f>AC6-AC20</f>
        <v/>
      </c>
      <c r="AD22" s="151">
        <f>AD6-AD20</f>
        <v/>
      </c>
      <c r="AE22" s="151">
        <f>AE6-AE20</f>
        <v/>
      </c>
      <c r="AF22" s="151">
        <f>AF6-AF20</f>
        <v/>
      </c>
      <c r="AG22" s="151">
        <f>AG6-AG20</f>
        <v/>
      </c>
      <c r="AH22" s="151">
        <f>AH6-AH20</f>
        <v/>
      </c>
      <c r="AI22" s="151">
        <f>AI6-AI20</f>
        <v/>
      </c>
      <c r="AJ22" s="151">
        <f>AJ6-AJ20</f>
        <v/>
      </c>
      <c r="AK22" s="151">
        <f>AK6-AK20</f>
        <v/>
      </c>
      <c r="AL22" s="151">
        <f>AL6-AL20</f>
        <v/>
      </c>
      <c r="AM22" s="151">
        <f>AM6-AM20</f>
        <v/>
      </c>
      <c r="AN22" s="151">
        <f>AN6-AN20</f>
        <v/>
      </c>
      <c r="AO22" s="151">
        <f>AO6-AO20</f>
        <v/>
      </c>
      <c r="AP22" s="151">
        <f>AP6-AP20</f>
        <v/>
      </c>
      <c r="AQ22" s="151">
        <f>AQ6-AQ20</f>
        <v/>
      </c>
      <c r="AR22" s="151">
        <f>AR6-AR20</f>
        <v/>
      </c>
      <c r="AS22" s="151">
        <f>AS6-AS20</f>
        <v/>
      </c>
      <c r="AT22" s="151">
        <f>AT6-AT20</f>
        <v/>
      </c>
      <c r="AU22" s="151">
        <f>AU6-AU20</f>
        <v/>
      </c>
      <c r="AV22" s="151">
        <f>AV6-AV20</f>
        <v/>
      </c>
      <c r="AW22" s="151">
        <f>AW6-AW20</f>
        <v/>
      </c>
      <c r="AX22" s="151">
        <f>AX6-AX20</f>
        <v/>
      </c>
      <c r="AY22" s="151">
        <f>AY6-AY20</f>
        <v/>
      </c>
      <c r="AZ22" s="151">
        <f>AZ6-AZ20</f>
        <v/>
      </c>
      <c r="BA22" s="151">
        <f>BA6-BA20</f>
        <v/>
      </c>
      <c r="BB22" s="151">
        <f>BB6-BB20</f>
        <v/>
      </c>
      <c r="BC22" s="151">
        <f>BC6-BC20</f>
        <v/>
      </c>
      <c r="BD22" s="151">
        <f>BD6-BD20</f>
        <v/>
      </c>
      <c r="BE22" s="151">
        <f>BE6-BE20</f>
        <v/>
      </c>
      <c r="BF22" s="151">
        <f>BF6-BF20</f>
        <v/>
      </c>
      <c r="BG22" s="151">
        <f>BG6-BG20</f>
        <v/>
      </c>
      <c r="BH22" s="151">
        <f>BH6-BH20</f>
        <v/>
      </c>
      <c r="BI22" s="151">
        <f>BI6-BI20</f>
        <v/>
      </c>
      <c r="BJ22" s="151">
        <f>BJ6-BJ20</f>
        <v/>
      </c>
      <c r="BL22" s="152">
        <f>C22+D22+E22+F22+G22+H22+I22+J22+K22+L22+M22+N22</f>
        <v/>
      </c>
      <c r="BM22" s="152">
        <f>O22+P22+Q22+R22+S22+T22+U22+V22+W22+X22+Y22+Z22</f>
        <v/>
      </c>
      <c r="BN22" s="152">
        <f>AA22+AB22+AC22+AD22+AE22+AF22+AG22+AH22+AI22+AJ22+AK22+AL22</f>
        <v/>
      </c>
      <c r="BO22" s="152">
        <f>AM22+AN22+AO22+AP22+AQ22+AR22+AS22+AT22+AU22+AV22+AW22+AX22</f>
        <v/>
      </c>
      <c r="BP22" s="152">
        <f>AY22+AZ22+BA22+BB22+BC22+BD22+BE22+BF22+BG22+BH22+BI22+BJ22</f>
        <v/>
      </c>
    </row>
    <row r="23" ht="15" customHeight="1" s="104">
      <c r="A23" s="218" t="inlineStr">
        <is>
          <t xml:space="preserve">    EBITDA Margin %</t>
        </is>
      </c>
      <c r="C23" s="192">
        <f>IF(C6=0,0,C22/C6)</f>
        <v/>
      </c>
      <c r="D23" s="192">
        <f>IF(D6=0,0,D22/D6)</f>
        <v/>
      </c>
      <c r="E23" s="192">
        <f>IF(E6=0,0,E22/E6)</f>
        <v/>
      </c>
      <c r="F23" s="192">
        <f>IF(F6=0,0,F22/F6)</f>
        <v/>
      </c>
      <c r="G23" s="192">
        <f>IF(G6=0,0,G22/G6)</f>
        <v/>
      </c>
      <c r="H23" s="192">
        <f>IF(H6=0,0,H22/H6)</f>
        <v/>
      </c>
      <c r="I23" s="192">
        <f>IF(I6=0,0,I22/I6)</f>
        <v/>
      </c>
      <c r="J23" s="192">
        <f>IF(J6=0,0,J22/J6)</f>
        <v/>
      </c>
      <c r="K23" s="192">
        <f>IF(K6=0,0,K22/K6)</f>
        <v/>
      </c>
      <c r="L23" s="192">
        <f>IF(L6=0,0,L22/L6)</f>
        <v/>
      </c>
      <c r="M23" s="192">
        <f>IF(M6=0,0,M22/M6)</f>
        <v/>
      </c>
      <c r="N23" s="192">
        <f>IF(N6=0,0,N22/N6)</f>
        <v/>
      </c>
      <c r="O23" s="192">
        <f>IF(O6=0,0,O22/O6)</f>
        <v/>
      </c>
      <c r="P23" s="192">
        <f>IF(P6=0,0,P22/P6)</f>
        <v/>
      </c>
      <c r="Q23" s="192">
        <f>IF(Q6=0,0,Q22/Q6)</f>
        <v/>
      </c>
      <c r="R23" s="192">
        <f>IF(R6=0,0,R22/R6)</f>
        <v/>
      </c>
      <c r="S23" s="192">
        <f>IF(S6=0,0,S22/S6)</f>
        <v/>
      </c>
      <c r="T23" s="192">
        <f>IF(T6=0,0,T22/T6)</f>
        <v/>
      </c>
      <c r="U23" s="192">
        <f>IF(U6=0,0,U22/U6)</f>
        <v/>
      </c>
      <c r="V23" s="192">
        <f>IF(V6=0,0,V22/V6)</f>
        <v/>
      </c>
      <c r="W23" s="192">
        <f>IF(W6=0,0,W22/W6)</f>
        <v/>
      </c>
      <c r="X23" s="192">
        <f>IF(X6=0,0,X22/X6)</f>
        <v/>
      </c>
      <c r="Y23" s="192">
        <f>IF(Y6=0,0,Y22/Y6)</f>
        <v/>
      </c>
      <c r="Z23" s="192">
        <f>IF(Z6=0,0,Z22/Z6)</f>
        <v/>
      </c>
      <c r="AA23" s="192">
        <f>IF(AA6=0,0,AA22/AA6)</f>
        <v/>
      </c>
      <c r="AB23" s="192">
        <f>IF(AB6=0,0,AB22/AB6)</f>
        <v/>
      </c>
      <c r="AC23" s="192">
        <f>IF(AC6=0,0,AC22/AC6)</f>
        <v/>
      </c>
      <c r="AD23" s="192">
        <f>IF(AD6=0,0,AD22/AD6)</f>
        <v/>
      </c>
      <c r="AE23" s="192">
        <f>IF(AE6=0,0,AE22/AE6)</f>
        <v/>
      </c>
      <c r="AF23" s="192">
        <f>IF(AF6=0,0,AF22/AF6)</f>
        <v/>
      </c>
      <c r="AG23" s="192">
        <f>IF(AG6=0,0,AG22/AG6)</f>
        <v/>
      </c>
      <c r="AH23" s="192">
        <f>IF(AH6=0,0,AH22/AH6)</f>
        <v/>
      </c>
      <c r="AI23" s="192">
        <f>IF(AI6=0,0,AI22/AI6)</f>
        <v/>
      </c>
      <c r="AJ23" s="192">
        <f>IF(AJ6=0,0,AJ22/AJ6)</f>
        <v/>
      </c>
      <c r="AK23" s="192">
        <f>IF(AK6=0,0,AK22/AK6)</f>
        <v/>
      </c>
      <c r="AL23" s="192">
        <f>IF(AL6=0,0,AL22/AL6)</f>
        <v/>
      </c>
      <c r="AM23" s="192">
        <f>IF(AM6=0,0,AM22/AM6)</f>
        <v/>
      </c>
      <c r="AN23" s="192">
        <f>IF(AN6=0,0,AN22/AN6)</f>
        <v/>
      </c>
      <c r="AO23" s="192">
        <f>IF(AO6=0,0,AO22/AO6)</f>
        <v/>
      </c>
      <c r="AP23" s="192">
        <f>IF(AP6=0,0,AP22/AP6)</f>
        <v/>
      </c>
      <c r="AQ23" s="192">
        <f>IF(AQ6=0,0,AQ22/AQ6)</f>
        <v/>
      </c>
      <c r="AR23" s="192">
        <f>IF(AR6=0,0,AR22/AR6)</f>
        <v/>
      </c>
      <c r="AS23" s="192">
        <f>IF(AS6=0,0,AS22/AS6)</f>
        <v/>
      </c>
      <c r="AT23" s="192">
        <f>IF(AT6=0,0,AT22/AT6)</f>
        <v/>
      </c>
      <c r="AU23" s="192">
        <f>IF(AU6=0,0,AU22/AU6)</f>
        <v/>
      </c>
      <c r="AV23" s="192">
        <f>IF(AV6=0,0,AV22/AV6)</f>
        <v/>
      </c>
      <c r="AW23" s="192">
        <f>IF(AW6=0,0,AW22/AW6)</f>
        <v/>
      </c>
      <c r="AX23" s="192">
        <f>IF(AX6=0,0,AX22/AX6)</f>
        <v/>
      </c>
      <c r="AY23" s="192">
        <f>IF(AY6=0,0,AY22/AY6)</f>
        <v/>
      </c>
      <c r="AZ23" s="192">
        <f>IF(AZ6=0,0,AZ22/AZ6)</f>
        <v/>
      </c>
      <c r="BA23" s="192">
        <f>IF(BA6=0,0,BA22/BA6)</f>
        <v/>
      </c>
      <c r="BB23" s="192">
        <f>IF(BB6=0,0,BB22/BB6)</f>
        <v/>
      </c>
      <c r="BC23" s="192">
        <f>IF(BC6=0,0,BC22/BC6)</f>
        <v/>
      </c>
      <c r="BD23" s="192">
        <f>IF(BD6=0,0,BD22/BD6)</f>
        <v/>
      </c>
      <c r="BE23" s="192">
        <f>IF(BE6=0,0,BE22/BE6)</f>
        <v/>
      </c>
      <c r="BF23" s="192">
        <f>IF(BF6=0,0,BF22/BF6)</f>
        <v/>
      </c>
      <c r="BG23" s="192">
        <f>IF(BG6=0,0,BG22/BG6)</f>
        <v/>
      </c>
      <c r="BH23" s="192">
        <f>IF(BH6=0,0,BH22/BH6)</f>
        <v/>
      </c>
      <c r="BI23" s="192">
        <f>IF(BI6=0,0,BI22/BI6)</f>
        <v/>
      </c>
      <c r="BJ23" s="192">
        <f>IF(BJ6=0,0,BJ22/BJ6)</f>
        <v/>
      </c>
      <c r="BL23" s="219">
        <f>IF((C6+D6+E6+F6+G6+H6+I6+J6+K6+L6+M6+N6)=0,0,(C22+D22+E22+F22+G22+H22+I22+J22+K22+L22+M22+N22)/(C6+D6+E6+F6+G6+H6+I6+J6+K6+L6+M6+N6))</f>
        <v/>
      </c>
      <c r="BM23" s="219">
        <f>IF((O6+P6+Q6+R6+S6+T6+U6+V6+W6+X6+Y6+Z6)=0,0,(O22+P22+Q22+R22+S22+T22+U22+V22+W22+X22+Y22+Z22)/(O6+P6+Q6+R6+S6+T6+U6+V6+W6+X6+Y6+Z6))</f>
        <v/>
      </c>
      <c r="BN23" s="219">
        <f>IF((AA6+AB6+AC6+AD6+AE6+AF6+AG6+AH6+AI6+AJ6+AK6+AL6)=0,0,(AA22+AB22+AC22+AD22+AE22+AF22+AG22+AH22+AI22+AJ22+AK22+AL22)/(AA6+AB6+AC6+AD6+AE6+AF6+AG6+AH6+AI6+AJ6+AK6+AL6))</f>
        <v/>
      </c>
      <c r="BO23" s="219">
        <f>IF((AM6+AN6+AO6+AP6+AQ6+AR6+AS6+AT6+AU6+AV6+AW6+AX6)=0,0,(AM22+AN22+AO22+AP22+AQ22+AR22+AS22+AT22+AU22+AV22+AW22+AX22)/(AM6+AN6+AO6+AP6+AQ6+AR6+AS6+AT6+AU6+AV6+AW6+AX6))</f>
        <v/>
      </c>
      <c r="BP23" s="219">
        <f>IF((AY6+AZ6+BA6+BB6+BC6+BD6+BE6+BF6+BG6+BH6+BI6+BJ6)=0,0,(AY22+AZ22+BA22+BB22+BC22+BD22+BE22+BF22+BG22+BH22+BI22+BJ22)/(AY6+AZ6+BA6+BB6+BC6+BD6+BE6+BF6+BG6+BH6+BI6+BJ6))</f>
        <v/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17.xml><?xml version="1.0" encoding="utf-8"?>
<worksheet xmlns="http://schemas.openxmlformats.org/spreadsheetml/2006/main">
  <sheetPr filterMode="0">
    <tabColor rgb="FF5B9BD5"/>
    <outlinePr summaryBelow="1" summaryRight="1"/>
    <pageSetUpPr fitToPage="0"/>
  </sheetPr>
  <dimension ref="A1:BP2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baseColWidth="8" defaultColWidth="8.71484375" defaultRowHeight="15" zeroHeight="0" outlineLevelRow="0"/>
  <cols>
    <col width="38" customWidth="1" style="103" min="1" max="1"/>
    <col width="9" customWidth="1" style="103" min="3" max="62"/>
    <col width="11" customWidth="1" style="103" min="64" max="68"/>
  </cols>
  <sheetData>
    <row r="1" ht="19.5" customHeight="1" s="104">
      <c r="A1" s="105" t="inlineStr">
        <is>
          <t>Add-On 9 – Monthly P&amp;L ($mm)</t>
        </is>
      </c>
    </row>
    <row r="3" ht="15" customHeight="1" s="104">
      <c r="A3" s="116" t="inlineStr">
        <is>
          <t>($mm)</t>
        </is>
      </c>
      <c r="C3" s="149" t="inlineStr">
        <is>
          <t>Oct-26</t>
        </is>
      </c>
      <c r="D3" s="149" t="inlineStr">
        <is>
          <t>Nov-26</t>
        </is>
      </c>
      <c r="E3" s="149" t="inlineStr">
        <is>
          <t>Dec-26</t>
        </is>
      </c>
      <c r="F3" s="149" t="inlineStr">
        <is>
          <t>Jan-27</t>
        </is>
      </c>
      <c r="G3" s="149" t="inlineStr">
        <is>
          <t>Feb-27</t>
        </is>
      </c>
      <c r="H3" s="149" t="inlineStr">
        <is>
          <t>Mar-27</t>
        </is>
      </c>
      <c r="I3" s="149" t="inlineStr">
        <is>
          <t>Apr-27</t>
        </is>
      </c>
      <c r="J3" s="149" t="inlineStr">
        <is>
          <t>May-27</t>
        </is>
      </c>
      <c r="K3" s="149" t="inlineStr">
        <is>
          <t>Jun-27</t>
        </is>
      </c>
      <c r="L3" s="149" t="inlineStr">
        <is>
          <t>Jul-27</t>
        </is>
      </c>
      <c r="M3" s="149" t="inlineStr">
        <is>
          <t>Aug-27</t>
        </is>
      </c>
      <c r="N3" s="149" t="inlineStr">
        <is>
          <t>Sep-27</t>
        </is>
      </c>
      <c r="O3" s="149" t="inlineStr">
        <is>
          <t>Oct-27</t>
        </is>
      </c>
      <c r="P3" s="149" t="inlineStr">
        <is>
          <t>Nov-27</t>
        </is>
      </c>
      <c r="Q3" s="149" t="inlineStr">
        <is>
          <t>Dec-27</t>
        </is>
      </c>
      <c r="R3" s="149" t="inlineStr">
        <is>
          <t>Jan-28</t>
        </is>
      </c>
      <c r="S3" s="149" t="inlineStr">
        <is>
          <t>Feb-28</t>
        </is>
      </c>
      <c r="T3" s="149" t="inlineStr">
        <is>
          <t>Mar-28</t>
        </is>
      </c>
      <c r="U3" s="149" t="inlineStr">
        <is>
          <t>Apr-28</t>
        </is>
      </c>
      <c r="V3" s="149" t="inlineStr">
        <is>
          <t>May-28</t>
        </is>
      </c>
      <c r="W3" s="149" t="inlineStr">
        <is>
          <t>Jun-28</t>
        </is>
      </c>
      <c r="X3" s="149" t="inlineStr">
        <is>
          <t>Jul-28</t>
        </is>
      </c>
      <c r="Y3" s="149" t="inlineStr">
        <is>
          <t>Aug-28</t>
        </is>
      </c>
      <c r="Z3" s="149" t="inlineStr">
        <is>
          <t>Sep-28</t>
        </is>
      </c>
      <c r="AA3" s="149" t="inlineStr">
        <is>
          <t>Oct-28</t>
        </is>
      </c>
      <c r="AB3" s="149" t="inlineStr">
        <is>
          <t>Nov-28</t>
        </is>
      </c>
      <c r="AC3" s="149" t="inlineStr">
        <is>
          <t>Dec-28</t>
        </is>
      </c>
      <c r="AD3" s="149" t="inlineStr">
        <is>
          <t>Jan-29</t>
        </is>
      </c>
      <c r="AE3" s="149" t="inlineStr">
        <is>
          <t>Feb-29</t>
        </is>
      </c>
      <c r="AF3" s="149" t="inlineStr">
        <is>
          <t>Mar-29</t>
        </is>
      </c>
      <c r="AG3" s="149" t="inlineStr">
        <is>
          <t>Apr-29</t>
        </is>
      </c>
      <c r="AH3" s="149" t="inlineStr">
        <is>
          <t>May-29</t>
        </is>
      </c>
      <c r="AI3" s="149" t="inlineStr">
        <is>
          <t>Jun-29</t>
        </is>
      </c>
      <c r="AJ3" s="149" t="inlineStr">
        <is>
          <t>Jul-29</t>
        </is>
      </c>
      <c r="AK3" s="149" t="inlineStr">
        <is>
          <t>Aug-29</t>
        </is>
      </c>
      <c r="AL3" s="149" t="inlineStr">
        <is>
          <t>Sep-29</t>
        </is>
      </c>
      <c r="AM3" s="149" t="inlineStr">
        <is>
          <t>Oct-29</t>
        </is>
      </c>
      <c r="AN3" s="149" t="inlineStr">
        <is>
          <t>Nov-29</t>
        </is>
      </c>
      <c r="AO3" s="149" t="inlineStr">
        <is>
          <t>Dec-29</t>
        </is>
      </c>
      <c r="AP3" s="149" t="inlineStr">
        <is>
          <t>Jan-30</t>
        </is>
      </c>
      <c r="AQ3" s="149" t="inlineStr">
        <is>
          <t>Feb-30</t>
        </is>
      </c>
      <c r="AR3" s="149" t="inlineStr">
        <is>
          <t>Mar-30</t>
        </is>
      </c>
      <c r="AS3" s="149" t="inlineStr">
        <is>
          <t>Apr-30</t>
        </is>
      </c>
      <c r="AT3" s="149" t="inlineStr">
        <is>
          <t>May-30</t>
        </is>
      </c>
      <c r="AU3" s="149" t="inlineStr">
        <is>
          <t>Jun-30</t>
        </is>
      </c>
      <c r="AV3" s="149" t="inlineStr">
        <is>
          <t>Jul-30</t>
        </is>
      </c>
      <c r="AW3" s="149" t="inlineStr">
        <is>
          <t>Aug-30</t>
        </is>
      </c>
      <c r="AX3" s="149" t="inlineStr">
        <is>
          <t>Sep-30</t>
        </is>
      </c>
      <c r="AY3" s="149" t="inlineStr">
        <is>
          <t>Oct-30</t>
        </is>
      </c>
      <c r="AZ3" s="149" t="inlineStr">
        <is>
          <t>Nov-30</t>
        </is>
      </c>
      <c r="BA3" s="149" t="inlineStr">
        <is>
          <t>Dec-30</t>
        </is>
      </c>
      <c r="BB3" s="149" t="inlineStr">
        <is>
          <t>Jan-31</t>
        </is>
      </c>
      <c r="BC3" s="149" t="inlineStr">
        <is>
          <t>Feb-31</t>
        </is>
      </c>
      <c r="BD3" s="149" t="inlineStr">
        <is>
          <t>Mar-31</t>
        </is>
      </c>
      <c r="BE3" s="149" t="inlineStr">
        <is>
          <t>Apr-31</t>
        </is>
      </c>
      <c r="BF3" s="149" t="inlineStr">
        <is>
          <t>May-31</t>
        </is>
      </c>
      <c r="BG3" s="149" t="inlineStr">
        <is>
          <t>Jun-31</t>
        </is>
      </c>
      <c r="BH3" s="149" t="inlineStr">
        <is>
          <t>Jul-31</t>
        </is>
      </c>
      <c r="BI3" s="149" t="inlineStr">
        <is>
          <t>Aug-31</t>
        </is>
      </c>
      <c r="BJ3" s="149" t="inlineStr">
        <is>
          <t>Sep-31</t>
        </is>
      </c>
      <c r="BL3" s="150" t="inlineStr">
        <is>
          <t>FY1</t>
        </is>
      </c>
      <c r="BM3" s="150" t="inlineStr">
        <is>
          <t>FY2</t>
        </is>
      </c>
      <c r="BN3" s="150" t="inlineStr">
        <is>
          <t>FY3</t>
        </is>
      </c>
      <c r="BO3" s="150" t="inlineStr">
        <is>
          <t>FY4</t>
        </is>
      </c>
      <c r="BP3" s="150" t="inlineStr">
        <is>
          <t>FY5</t>
        </is>
      </c>
    </row>
    <row r="4" ht="15" customHeight="1" s="104">
      <c r="A4" s="213" t="inlineStr">
        <is>
          <t>Active (1=Yes)</t>
        </is>
      </c>
      <c r="C4" s="220">
        <f>IF(Assumptions!B59="",0,IF(IFERROR(DATEVALUE(TEXT(Assumptions!B59,"MM/DD/YYYY")),0)&lt;=DATE(2026,10,31),1,0))</f>
        <v/>
      </c>
      <c r="D4" s="220">
        <f>IF(Assumptions!B59="",0,IF(IFERROR(DATEVALUE(TEXT(Assumptions!B59,"MM/DD/YYYY")),0)&lt;=DATE(2026,11,30),1,0))</f>
        <v/>
      </c>
      <c r="E4" s="220">
        <f>IF(Assumptions!B59="",0,IF(IFERROR(DATEVALUE(TEXT(Assumptions!B59,"MM/DD/YYYY")),0)&lt;=DATE(2026,12,31),1,0))</f>
        <v/>
      </c>
      <c r="F4" s="220">
        <f>IF(Assumptions!B59="",0,IF(IFERROR(DATEVALUE(TEXT(Assumptions!B59,"MM/DD/YYYY")),0)&lt;=DATE(2027,1,31),1,0))</f>
        <v/>
      </c>
      <c r="G4" s="220">
        <f>IF(Assumptions!B59="",0,IF(IFERROR(DATEVALUE(TEXT(Assumptions!B59,"MM/DD/YYYY")),0)&lt;=DATE(2027,2,28),1,0))</f>
        <v/>
      </c>
      <c r="H4" s="220">
        <f>IF(Assumptions!B59="",0,IF(IFERROR(DATEVALUE(TEXT(Assumptions!B59,"MM/DD/YYYY")),0)&lt;=DATE(2027,3,31),1,0))</f>
        <v/>
      </c>
      <c r="I4" s="220">
        <f>IF(Assumptions!B59="",0,IF(IFERROR(DATEVALUE(TEXT(Assumptions!B59,"MM/DD/YYYY")),0)&lt;=DATE(2027,4,30),1,0))</f>
        <v/>
      </c>
      <c r="J4" s="220">
        <f>IF(Assumptions!B59="",0,IF(IFERROR(DATEVALUE(TEXT(Assumptions!B59,"MM/DD/YYYY")),0)&lt;=DATE(2027,5,31),1,0))</f>
        <v/>
      </c>
      <c r="K4" s="220">
        <f>IF(Assumptions!B59="",0,IF(IFERROR(DATEVALUE(TEXT(Assumptions!B59,"MM/DD/YYYY")),0)&lt;=DATE(2027,6,30),1,0))</f>
        <v/>
      </c>
      <c r="L4" s="220">
        <f>IF(Assumptions!B59="",0,IF(IFERROR(DATEVALUE(TEXT(Assumptions!B59,"MM/DD/YYYY")),0)&lt;=DATE(2027,7,31),1,0))</f>
        <v/>
      </c>
      <c r="M4" s="220">
        <f>IF(Assumptions!B59="",0,IF(IFERROR(DATEVALUE(TEXT(Assumptions!B59,"MM/DD/YYYY")),0)&lt;=DATE(2027,8,31),1,0))</f>
        <v/>
      </c>
      <c r="N4" s="220">
        <f>IF(Assumptions!B59="",0,IF(IFERROR(DATEVALUE(TEXT(Assumptions!B59,"MM/DD/YYYY")),0)&lt;=DATE(2027,9,30),1,0))</f>
        <v/>
      </c>
      <c r="O4" s="220">
        <f>IF(Assumptions!B59="",0,IF(IFERROR(DATEVALUE(TEXT(Assumptions!B59,"MM/DD/YYYY")),0)&lt;=DATE(2027,10,31),1,0))</f>
        <v/>
      </c>
      <c r="P4" s="220">
        <f>IF(Assumptions!B59="",0,IF(IFERROR(DATEVALUE(TEXT(Assumptions!B59,"MM/DD/YYYY")),0)&lt;=DATE(2027,11,30),1,0))</f>
        <v/>
      </c>
      <c r="Q4" s="220">
        <f>IF(Assumptions!B59="",0,IF(IFERROR(DATEVALUE(TEXT(Assumptions!B59,"MM/DD/YYYY")),0)&lt;=DATE(2027,12,31),1,0))</f>
        <v/>
      </c>
      <c r="R4" s="220">
        <f>IF(Assumptions!B59="",0,IF(IFERROR(DATEVALUE(TEXT(Assumptions!B59,"MM/DD/YYYY")),0)&lt;=DATE(2028,1,31),1,0))</f>
        <v/>
      </c>
      <c r="S4" s="220">
        <f>IF(Assumptions!B59="",0,IF(IFERROR(DATEVALUE(TEXT(Assumptions!B59,"MM/DD/YYYY")),0)&lt;=DATE(2028,2,29),1,0))</f>
        <v/>
      </c>
      <c r="T4" s="220">
        <f>IF(Assumptions!B59="",0,IF(IFERROR(DATEVALUE(TEXT(Assumptions!B59,"MM/DD/YYYY")),0)&lt;=DATE(2028,3,31),1,0))</f>
        <v/>
      </c>
      <c r="U4" s="220">
        <f>IF(Assumptions!B59="",0,IF(IFERROR(DATEVALUE(TEXT(Assumptions!B59,"MM/DD/YYYY")),0)&lt;=DATE(2028,4,30),1,0))</f>
        <v/>
      </c>
      <c r="V4" s="220">
        <f>IF(Assumptions!B59="",0,IF(IFERROR(DATEVALUE(TEXT(Assumptions!B59,"MM/DD/YYYY")),0)&lt;=DATE(2028,5,31),1,0))</f>
        <v/>
      </c>
      <c r="W4" s="220">
        <f>IF(Assumptions!B59="",0,IF(IFERROR(DATEVALUE(TEXT(Assumptions!B59,"MM/DD/YYYY")),0)&lt;=DATE(2028,6,30),1,0))</f>
        <v/>
      </c>
      <c r="X4" s="220">
        <f>IF(Assumptions!B59="",0,IF(IFERROR(DATEVALUE(TEXT(Assumptions!B59,"MM/DD/YYYY")),0)&lt;=DATE(2028,7,31),1,0))</f>
        <v/>
      </c>
      <c r="Y4" s="220">
        <f>IF(Assumptions!B59="",0,IF(IFERROR(DATEVALUE(TEXT(Assumptions!B59,"MM/DD/YYYY")),0)&lt;=DATE(2028,8,31),1,0))</f>
        <v/>
      </c>
      <c r="Z4" s="220">
        <f>IF(Assumptions!B59="",0,IF(IFERROR(DATEVALUE(TEXT(Assumptions!B59,"MM/DD/YYYY")),0)&lt;=DATE(2028,9,30),1,0))</f>
        <v/>
      </c>
      <c r="AA4" s="220">
        <f>IF(Assumptions!B59="",0,IF(IFERROR(DATEVALUE(TEXT(Assumptions!B59,"MM/DD/YYYY")),0)&lt;=DATE(2028,10,31),1,0))</f>
        <v/>
      </c>
      <c r="AB4" s="220">
        <f>IF(Assumptions!B59="",0,IF(IFERROR(DATEVALUE(TEXT(Assumptions!B59,"MM/DD/YYYY")),0)&lt;=DATE(2028,11,30),1,0))</f>
        <v/>
      </c>
      <c r="AC4" s="220">
        <f>IF(Assumptions!B59="",0,IF(IFERROR(DATEVALUE(TEXT(Assumptions!B59,"MM/DD/YYYY")),0)&lt;=DATE(2028,12,31),1,0))</f>
        <v/>
      </c>
      <c r="AD4" s="220">
        <f>IF(Assumptions!B59="",0,IF(IFERROR(DATEVALUE(TEXT(Assumptions!B59,"MM/DD/YYYY")),0)&lt;=DATE(2029,1,31),1,0))</f>
        <v/>
      </c>
      <c r="AE4" s="220">
        <f>IF(Assumptions!B59="",0,IF(IFERROR(DATEVALUE(TEXT(Assumptions!B59,"MM/DD/YYYY")),0)&lt;=DATE(2029,2,28),1,0))</f>
        <v/>
      </c>
      <c r="AF4" s="220">
        <f>IF(Assumptions!B59="",0,IF(IFERROR(DATEVALUE(TEXT(Assumptions!B59,"MM/DD/YYYY")),0)&lt;=DATE(2029,3,31),1,0))</f>
        <v/>
      </c>
      <c r="AG4" s="220">
        <f>IF(Assumptions!B59="",0,IF(IFERROR(DATEVALUE(TEXT(Assumptions!B59,"MM/DD/YYYY")),0)&lt;=DATE(2029,4,30),1,0))</f>
        <v/>
      </c>
      <c r="AH4" s="220">
        <f>IF(Assumptions!B59="",0,IF(IFERROR(DATEVALUE(TEXT(Assumptions!B59,"MM/DD/YYYY")),0)&lt;=DATE(2029,5,31),1,0))</f>
        <v/>
      </c>
      <c r="AI4" s="220">
        <f>IF(Assumptions!B59="",0,IF(IFERROR(DATEVALUE(TEXT(Assumptions!B59,"MM/DD/YYYY")),0)&lt;=DATE(2029,6,30),1,0))</f>
        <v/>
      </c>
      <c r="AJ4" s="220">
        <f>IF(Assumptions!B59="",0,IF(IFERROR(DATEVALUE(TEXT(Assumptions!B59,"MM/DD/YYYY")),0)&lt;=DATE(2029,7,31),1,0))</f>
        <v/>
      </c>
      <c r="AK4" s="220">
        <f>IF(Assumptions!B59="",0,IF(IFERROR(DATEVALUE(TEXT(Assumptions!B59,"MM/DD/YYYY")),0)&lt;=DATE(2029,8,31),1,0))</f>
        <v/>
      </c>
      <c r="AL4" s="220">
        <f>IF(Assumptions!B59="",0,IF(IFERROR(DATEVALUE(TEXT(Assumptions!B59,"MM/DD/YYYY")),0)&lt;=DATE(2029,9,30),1,0))</f>
        <v/>
      </c>
      <c r="AM4" s="220">
        <f>IF(Assumptions!B59="",0,IF(IFERROR(DATEVALUE(TEXT(Assumptions!B59,"MM/DD/YYYY")),0)&lt;=DATE(2029,10,31),1,0))</f>
        <v/>
      </c>
      <c r="AN4" s="220">
        <f>IF(Assumptions!B59="",0,IF(IFERROR(DATEVALUE(TEXT(Assumptions!B59,"MM/DD/YYYY")),0)&lt;=DATE(2029,11,30),1,0))</f>
        <v/>
      </c>
      <c r="AO4" s="220">
        <f>IF(Assumptions!B59="",0,IF(IFERROR(DATEVALUE(TEXT(Assumptions!B59,"MM/DD/YYYY")),0)&lt;=DATE(2029,12,31),1,0))</f>
        <v/>
      </c>
      <c r="AP4" s="220">
        <f>IF(Assumptions!B59="",0,IF(IFERROR(DATEVALUE(TEXT(Assumptions!B59,"MM/DD/YYYY")),0)&lt;=DATE(2030,1,31),1,0))</f>
        <v/>
      </c>
      <c r="AQ4" s="220">
        <f>IF(Assumptions!B59="",0,IF(IFERROR(DATEVALUE(TEXT(Assumptions!B59,"MM/DD/YYYY")),0)&lt;=DATE(2030,2,28),1,0))</f>
        <v/>
      </c>
      <c r="AR4" s="220">
        <f>IF(Assumptions!B59="",0,IF(IFERROR(DATEVALUE(TEXT(Assumptions!B59,"MM/DD/YYYY")),0)&lt;=DATE(2030,3,31),1,0))</f>
        <v/>
      </c>
      <c r="AS4" s="220">
        <f>IF(Assumptions!B59="",0,IF(IFERROR(DATEVALUE(TEXT(Assumptions!B59,"MM/DD/YYYY")),0)&lt;=DATE(2030,4,30),1,0))</f>
        <v/>
      </c>
      <c r="AT4" s="220">
        <f>IF(Assumptions!B59="",0,IF(IFERROR(DATEVALUE(TEXT(Assumptions!B59,"MM/DD/YYYY")),0)&lt;=DATE(2030,5,31),1,0))</f>
        <v/>
      </c>
      <c r="AU4" s="220">
        <f>IF(Assumptions!B59="",0,IF(IFERROR(DATEVALUE(TEXT(Assumptions!B59,"MM/DD/YYYY")),0)&lt;=DATE(2030,6,30),1,0))</f>
        <v/>
      </c>
      <c r="AV4" s="220">
        <f>IF(Assumptions!B59="",0,IF(IFERROR(DATEVALUE(TEXT(Assumptions!B59,"MM/DD/YYYY")),0)&lt;=DATE(2030,7,31),1,0))</f>
        <v/>
      </c>
      <c r="AW4" s="220">
        <f>IF(Assumptions!B59="",0,IF(IFERROR(DATEVALUE(TEXT(Assumptions!B59,"MM/DD/YYYY")),0)&lt;=DATE(2030,8,31),1,0))</f>
        <v/>
      </c>
      <c r="AX4" s="220">
        <f>IF(Assumptions!B59="",0,IF(IFERROR(DATEVALUE(TEXT(Assumptions!B59,"MM/DD/YYYY")),0)&lt;=DATE(2030,9,30),1,0))</f>
        <v/>
      </c>
      <c r="AY4" s="220">
        <f>IF(Assumptions!B59="",0,IF(IFERROR(DATEVALUE(TEXT(Assumptions!B59,"MM/DD/YYYY")),0)&lt;=DATE(2030,10,31),1,0))</f>
        <v/>
      </c>
      <c r="AZ4" s="220">
        <f>IF(Assumptions!B59="",0,IF(IFERROR(DATEVALUE(TEXT(Assumptions!B59,"MM/DD/YYYY")),0)&lt;=DATE(2030,11,30),1,0))</f>
        <v/>
      </c>
      <c r="BA4" s="220">
        <f>IF(Assumptions!B59="",0,IF(IFERROR(DATEVALUE(TEXT(Assumptions!B59,"MM/DD/YYYY")),0)&lt;=DATE(2030,12,31),1,0))</f>
        <v/>
      </c>
      <c r="BB4" s="220">
        <f>IF(Assumptions!B59="",0,IF(IFERROR(DATEVALUE(TEXT(Assumptions!B59,"MM/DD/YYYY")),0)&lt;=DATE(2031,1,31),1,0))</f>
        <v/>
      </c>
      <c r="BC4" s="220">
        <f>IF(Assumptions!B59="",0,IF(IFERROR(DATEVALUE(TEXT(Assumptions!B59,"MM/DD/YYYY")),0)&lt;=DATE(2031,2,28),1,0))</f>
        <v/>
      </c>
      <c r="BD4" s="220">
        <f>IF(Assumptions!B59="",0,IF(IFERROR(DATEVALUE(TEXT(Assumptions!B59,"MM/DD/YYYY")),0)&lt;=DATE(2031,3,31),1,0))</f>
        <v/>
      </c>
      <c r="BE4" s="220">
        <f>IF(Assumptions!B59="",0,IF(IFERROR(DATEVALUE(TEXT(Assumptions!B59,"MM/DD/YYYY")),0)&lt;=DATE(2031,4,30),1,0))</f>
        <v/>
      </c>
      <c r="BF4" s="220">
        <f>IF(Assumptions!B59="",0,IF(IFERROR(DATEVALUE(TEXT(Assumptions!B59,"MM/DD/YYYY")),0)&lt;=DATE(2031,5,31),1,0))</f>
        <v/>
      </c>
      <c r="BG4" s="220">
        <f>IF(Assumptions!B59="",0,IF(IFERROR(DATEVALUE(TEXT(Assumptions!B59,"MM/DD/YYYY")),0)&lt;=DATE(2031,6,30),1,0))</f>
        <v/>
      </c>
      <c r="BH4" s="220">
        <f>IF(Assumptions!B59="",0,IF(IFERROR(DATEVALUE(TEXT(Assumptions!B59,"MM/DD/YYYY")),0)&lt;=DATE(2031,7,31),1,0))</f>
        <v/>
      </c>
      <c r="BI4" s="220">
        <f>IF(Assumptions!B59="",0,IF(IFERROR(DATEVALUE(TEXT(Assumptions!B59,"MM/DD/YYYY")),0)&lt;=DATE(2031,8,31),1,0))</f>
        <v/>
      </c>
      <c r="BJ4" s="220">
        <f>IF(Assumptions!B59="",0,IF(IFERROR(DATEVALUE(TEXT(Assumptions!B59,"MM/DD/YYYY")),0)&lt;=DATE(2031,9,30),1,0))</f>
        <v/>
      </c>
    </row>
    <row r="5" ht="15" customHeight="1" s="104">
      <c r="A5" s="106" t="inlineStr">
        <is>
          <t>REVENUE</t>
        </is>
      </c>
    </row>
    <row r="6" ht="15" customHeight="1" s="104">
      <c r="A6" s="116" t="inlineStr">
        <is>
          <t>Monthly Revenue</t>
        </is>
      </c>
      <c r="C6" s="151">
        <f>IF(C4=0,0,(Assumptions!C59/12))</f>
        <v/>
      </c>
      <c r="D6" s="151">
        <f>IF(D4=0,0,(Assumptions!C59/12)*POWER(1+Assumptions!B17,1/12))</f>
        <v/>
      </c>
      <c r="E6" s="151">
        <f>IF(E4=0,0,(Assumptions!C59/12)*POWER(1+Assumptions!B17,2/12))</f>
        <v/>
      </c>
      <c r="F6" s="151">
        <f>IF(F4=0,0,(Assumptions!C59/12)*POWER(1+Assumptions!B17,3/12))</f>
        <v/>
      </c>
      <c r="G6" s="151">
        <f>IF(G4=0,0,(Assumptions!C59/12)*POWER(1+Assumptions!B17,4/12))</f>
        <v/>
      </c>
      <c r="H6" s="151">
        <f>IF(H4=0,0,(Assumptions!C59/12)*POWER(1+Assumptions!B17,5/12))</f>
        <v/>
      </c>
      <c r="I6" s="151">
        <f>IF(I4=0,0,(Assumptions!C59/12)*POWER(1+Assumptions!B17,6/12))</f>
        <v/>
      </c>
      <c r="J6" s="151">
        <f>IF(J4=0,0,(Assumptions!C59/12)*POWER(1+Assumptions!B17,7/12))</f>
        <v/>
      </c>
      <c r="K6" s="151">
        <f>IF(K4=0,0,(Assumptions!C59/12)*POWER(1+Assumptions!B17,8/12))</f>
        <v/>
      </c>
      <c r="L6" s="151">
        <f>IF(L4=0,0,(Assumptions!C59/12)*POWER(1+Assumptions!B17,9/12))</f>
        <v/>
      </c>
      <c r="M6" s="151">
        <f>IF(M4=0,0,(Assumptions!C59/12)*POWER(1+Assumptions!B17,10/12))</f>
        <v/>
      </c>
      <c r="N6" s="151">
        <f>IF(N4=0,0,(Assumptions!C59/12)*POWER(1+Assumptions!B17,11/12))</f>
        <v/>
      </c>
      <c r="O6" s="151">
        <f>IF(O4=0,0,(Assumptions!C59*(1+Assumptions!B17)/12))</f>
        <v/>
      </c>
      <c r="P6" s="151">
        <f>IF(P4=0,0,(Assumptions!C59*(1+Assumptions!B17)/12)*POWER(1+Assumptions!B18,1/12))</f>
        <v/>
      </c>
      <c r="Q6" s="151">
        <f>IF(Q4=0,0,(Assumptions!C59*(1+Assumptions!B17)/12)*POWER(1+Assumptions!B18,2/12))</f>
        <v/>
      </c>
      <c r="R6" s="151">
        <f>IF(R4=0,0,(Assumptions!C59*(1+Assumptions!B17)/12)*POWER(1+Assumptions!B18,3/12))</f>
        <v/>
      </c>
      <c r="S6" s="151">
        <f>IF(S4=0,0,(Assumptions!C59*(1+Assumptions!B17)/12)*POWER(1+Assumptions!B18,4/12))</f>
        <v/>
      </c>
      <c r="T6" s="151">
        <f>IF(T4=0,0,(Assumptions!C59*(1+Assumptions!B17)/12)*POWER(1+Assumptions!B18,5/12))</f>
        <v/>
      </c>
      <c r="U6" s="151">
        <f>IF(U4=0,0,(Assumptions!C59*(1+Assumptions!B17)/12)*POWER(1+Assumptions!B18,6/12))</f>
        <v/>
      </c>
      <c r="V6" s="151">
        <f>IF(V4=0,0,(Assumptions!C59*(1+Assumptions!B17)/12)*POWER(1+Assumptions!B18,7/12))</f>
        <v/>
      </c>
      <c r="W6" s="151">
        <f>IF(W4=0,0,(Assumptions!C59*(1+Assumptions!B17)/12)*POWER(1+Assumptions!B18,8/12))</f>
        <v/>
      </c>
      <c r="X6" s="151">
        <f>IF(X4=0,0,(Assumptions!C59*(1+Assumptions!B17)/12)*POWER(1+Assumptions!B18,9/12))</f>
        <v/>
      </c>
      <c r="Y6" s="151">
        <f>IF(Y4=0,0,(Assumptions!C59*(1+Assumptions!B17)/12)*POWER(1+Assumptions!B18,10/12))</f>
        <v/>
      </c>
      <c r="Z6" s="151">
        <f>IF(Z4=0,0,(Assumptions!C59*(1+Assumptions!B17)/12)*POWER(1+Assumptions!B18,11/12))</f>
        <v/>
      </c>
      <c r="AA6" s="151">
        <f>IF(AA4=0,0,(Assumptions!C59*(1+Assumptions!B17)*(1+Assumptions!B18)/12))</f>
        <v/>
      </c>
      <c r="AB6" s="151">
        <f>IF(AB4=0,0,(Assumptions!C59*(1+Assumptions!B17)*(1+Assumptions!B18)/12)*POWER(1+Assumptions!B19,1/12))</f>
        <v/>
      </c>
      <c r="AC6" s="151">
        <f>IF(AC4=0,0,(Assumptions!C59*(1+Assumptions!B17)*(1+Assumptions!B18)/12)*POWER(1+Assumptions!B19,2/12))</f>
        <v/>
      </c>
      <c r="AD6" s="151">
        <f>IF(AD4=0,0,(Assumptions!C59*(1+Assumptions!B17)*(1+Assumptions!B18)/12)*POWER(1+Assumptions!B19,3/12))</f>
        <v/>
      </c>
      <c r="AE6" s="151">
        <f>IF(AE4=0,0,(Assumptions!C59*(1+Assumptions!B17)*(1+Assumptions!B18)/12)*POWER(1+Assumptions!B19,4/12))</f>
        <v/>
      </c>
      <c r="AF6" s="151">
        <f>IF(AF4=0,0,(Assumptions!C59*(1+Assumptions!B17)*(1+Assumptions!B18)/12)*POWER(1+Assumptions!B19,5/12))</f>
        <v/>
      </c>
      <c r="AG6" s="151">
        <f>IF(AG4=0,0,(Assumptions!C59*(1+Assumptions!B17)*(1+Assumptions!B18)/12)*POWER(1+Assumptions!B19,6/12))</f>
        <v/>
      </c>
      <c r="AH6" s="151">
        <f>IF(AH4=0,0,(Assumptions!C59*(1+Assumptions!B17)*(1+Assumptions!B18)/12)*POWER(1+Assumptions!B19,7/12))</f>
        <v/>
      </c>
      <c r="AI6" s="151">
        <f>IF(AI4=0,0,(Assumptions!C59*(1+Assumptions!B17)*(1+Assumptions!B18)/12)*POWER(1+Assumptions!B19,8/12))</f>
        <v/>
      </c>
      <c r="AJ6" s="151">
        <f>IF(AJ4=0,0,(Assumptions!C59*(1+Assumptions!B17)*(1+Assumptions!B18)/12)*POWER(1+Assumptions!B19,9/12))</f>
        <v/>
      </c>
      <c r="AK6" s="151">
        <f>IF(AK4=0,0,(Assumptions!C59*(1+Assumptions!B17)*(1+Assumptions!B18)/12)*POWER(1+Assumptions!B19,10/12))</f>
        <v/>
      </c>
      <c r="AL6" s="151">
        <f>IF(AL4=0,0,(Assumptions!C59*(1+Assumptions!B17)*(1+Assumptions!B18)/12)*POWER(1+Assumptions!B19,11/12))</f>
        <v/>
      </c>
      <c r="AM6" s="151">
        <f>IF(AM4=0,0,(Assumptions!C59*(1+Assumptions!B17)*(1+Assumptions!B18)*(1+Assumptions!B19)/12))</f>
        <v/>
      </c>
      <c r="AN6" s="151">
        <f>IF(AN4=0,0,(Assumptions!C59*(1+Assumptions!B17)*(1+Assumptions!B18)*(1+Assumptions!B19)/12)*POWER(1+Assumptions!B20,1/12))</f>
        <v/>
      </c>
      <c r="AO6" s="151">
        <f>IF(AO4=0,0,(Assumptions!C59*(1+Assumptions!B17)*(1+Assumptions!B18)*(1+Assumptions!B19)/12)*POWER(1+Assumptions!B20,2/12))</f>
        <v/>
      </c>
      <c r="AP6" s="151">
        <f>IF(AP4=0,0,(Assumptions!C59*(1+Assumptions!B17)*(1+Assumptions!B18)*(1+Assumptions!B19)/12)*POWER(1+Assumptions!B20,3/12))</f>
        <v/>
      </c>
      <c r="AQ6" s="151">
        <f>IF(AQ4=0,0,(Assumptions!C59*(1+Assumptions!B17)*(1+Assumptions!B18)*(1+Assumptions!B19)/12)*POWER(1+Assumptions!B20,4/12))</f>
        <v/>
      </c>
      <c r="AR6" s="151">
        <f>IF(AR4=0,0,(Assumptions!C59*(1+Assumptions!B17)*(1+Assumptions!B18)*(1+Assumptions!B19)/12)*POWER(1+Assumptions!B20,5/12))</f>
        <v/>
      </c>
      <c r="AS6" s="151">
        <f>IF(AS4=0,0,(Assumptions!C59*(1+Assumptions!B17)*(1+Assumptions!B18)*(1+Assumptions!B19)/12)*POWER(1+Assumptions!B20,6/12))</f>
        <v/>
      </c>
      <c r="AT6" s="151">
        <f>IF(AT4=0,0,(Assumptions!C59*(1+Assumptions!B17)*(1+Assumptions!B18)*(1+Assumptions!B19)/12)*POWER(1+Assumptions!B20,7/12))</f>
        <v/>
      </c>
      <c r="AU6" s="151">
        <f>IF(AU4=0,0,(Assumptions!C59*(1+Assumptions!B17)*(1+Assumptions!B18)*(1+Assumptions!B19)/12)*POWER(1+Assumptions!B20,8/12))</f>
        <v/>
      </c>
      <c r="AV6" s="151">
        <f>IF(AV4=0,0,(Assumptions!C59*(1+Assumptions!B17)*(1+Assumptions!B18)*(1+Assumptions!B19)/12)*POWER(1+Assumptions!B20,9/12))</f>
        <v/>
      </c>
      <c r="AW6" s="151">
        <f>IF(AW4=0,0,(Assumptions!C59*(1+Assumptions!B17)*(1+Assumptions!B18)*(1+Assumptions!B19)/12)*POWER(1+Assumptions!B20,10/12))</f>
        <v/>
      </c>
      <c r="AX6" s="151">
        <f>IF(AX4=0,0,(Assumptions!C59*(1+Assumptions!B17)*(1+Assumptions!B18)*(1+Assumptions!B19)/12)*POWER(1+Assumptions!B20,11/12))</f>
        <v/>
      </c>
      <c r="AY6" s="151">
        <f>IF(AY4=0,0,(Assumptions!C59*(1+Assumptions!B17)*(1+Assumptions!B18)*(1+Assumptions!B19)*(1+Assumptions!B20)/12))</f>
        <v/>
      </c>
      <c r="AZ6" s="151">
        <f>IF(AZ4=0,0,(Assumptions!C59*(1+Assumptions!B17)*(1+Assumptions!B18)*(1+Assumptions!B19)*(1+Assumptions!B20)/12)*POWER(1+Assumptions!B21,1/12))</f>
        <v/>
      </c>
      <c r="BA6" s="151">
        <f>IF(BA4=0,0,(Assumptions!C59*(1+Assumptions!B17)*(1+Assumptions!B18)*(1+Assumptions!B19)*(1+Assumptions!B20)/12)*POWER(1+Assumptions!B21,2/12))</f>
        <v/>
      </c>
      <c r="BB6" s="151">
        <f>IF(BB4=0,0,(Assumptions!C59*(1+Assumptions!B17)*(1+Assumptions!B18)*(1+Assumptions!B19)*(1+Assumptions!B20)/12)*POWER(1+Assumptions!B21,3/12))</f>
        <v/>
      </c>
      <c r="BC6" s="151">
        <f>IF(BC4=0,0,(Assumptions!C59*(1+Assumptions!B17)*(1+Assumptions!B18)*(1+Assumptions!B19)*(1+Assumptions!B20)/12)*POWER(1+Assumptions!B21,4/12))</f>
        <v/>
      </c>
      <c r="BD6" s="151">
        <f>IF(BD4=0,0,(Assumptions!C59*(1+Assumptions!B17)*(1+Assumptions!B18)*(1+Assumptions!B19)*(1+Assumptions!B20)/12)*POWER(1+Assumptions!B21,5/12))</f>
        <v/>
      </c>
      <c r="BE6" s="151">
        <f>IF(BE4=0,0,(Assumptions!C59*(1+Assumptions!B17)*(1+Assumptions!B18)*(1+Assumptions!B19)*(1+Assumptions!B20)/12)*POWER(1+Assumptions!B21,6/12))</f>
        <v/>
      </c>
      <c r="BF6" s="151">
        <f>IF(BF4=0,0,(Assumptions!C59*(1+Assumptions!B17)*(1+Assumptions!B18)*(1+Assumptions!B19)*(1+Assumptions!B20)/12)*POWER(1+Assumptions!B21,7/12))</f>
        <v/>
      </c>
      <c r="BG6" s="151">
        <f>IF(BG4=0,0,(Assumptions!C59*(1+Assumptions!B17)*(1+Assumptions!B18)*(1+Assumptions!B19)*(1+Assumptions!B20)/12)*POWER(1+Assumptions!B21,8/12))</f>
        <v/>
      </c>
      <c r="BH6" s="151">
        <f>IF(BH4=0,0,(Assumptions!C59*(1+Assumptions!B17)*(1+Assumptions!B18)*(1+Assumptions!B19)*(1+Assumptions!B20)/12)*POWER(1+Assumptions!B21,9/12))</f>
        <v/>
      </c>
      <c r="BI6" s="151">
        <f>IF(BI4=0,0,(Assumptions!C59*(1+Assumptions!B17)*(1+Assumptions!B18)*(1+Assumptions!B19)*(1+Assumptions!B20)/12)*POWER(1+Assumptions!B21,10/12))</f>
        <v/>
      </c>
      <c r="BJ6" s="151">
        <f>IF(BJ4=0,0,(Assumptions!C59*(1+Assumptions!B17)*(1+Assumptions!B18)*(1+Assumptions!B19)*(1+Assumptions!B20)/12)*POWER(1+Assumptions!B21,11/12))</f>
        <v/>
      </c>
      <c r="BL6" s="152">
        <f>C6+D6+E6+F6+G6+H6+I6+J6+K6+L6+M6+N6</f>
        <v/>
      </c>
      <c r="BM6" s="152">
        <f>O6+P6+Q6+R6+S6+T6+U6+V6+W6+X6+Y6+Z6</f>
        <v/>
      </c>
      <c r="BN6" s="152">
        <f>AA6+AB6+AC6+AD6+AE6+AF6+AG6+AH6+AI6+AJ6+AK6+AL6</f>
        <v/>
      </c>
      <c r="BO6" s="152">
        <f>AM6+AN6+AO6+AP6+AQ6+AR6+AS6+AT6+AU6+AV6+AW6+AX6</f>
        <v/>
      </c>
      <c r="BP6" s="152">
        <f>AY6+AZ6+BA6+BB6+BC6+BD6+BE6+BF6+BG6+BH6+BI6+BJ6</f>
        <v/>
      </c>
    </row>
    <row r="7" ht="15" customHeight="1" s="104">
      <c r="A7" s="106" t="inlineStr">
        <is>
          <t>OPERATING EXPENSES</t>
        </is>
      </c>
    </row>
    <row r="8" ht="15" customHeight="1" s="104">
      <c r="A8" s="107" t="inlineStr">
        <is>
          <t>Attorney Compensation</t>
        </is>
      </c>
      <c r="C8" s="156">
        <f>C6*(Assumptions!B24+Assumptions!B25*0)</f>
        <v/>
      </c>
      <c r="D8" s="156">
        <f>D6*(Assumptions!B24+Assumptions!B25*0)</f>
        <v/>
      </c>
      <c r="E8" s="156">
        <f>E6*(Assumptions!B24+Assumptions!B25*0)</f>
        <v/>
      </c>
      <c r="F8" s="156">
        <f>F6*(Assumptions!B24+Assumptions!B25*0)</f>
        <v/>
      </c>
      <c r="G8" s="156">
        <f>G6*(Assumptions!B24+Assumptions!B25*0)</f>
        <v/>
      </c>
      <c r="H8" s="156">
        <f>H6*(Assumptions!B24+Assumptions!B25*0)</f>
        <v/>
      </c>
      <c r="I8" s="156">
        <f>I6*(Assumptions!B24+Assumptions!B25*0)</f>
        <v/>
      </c>
      <c r="J8" s="156">
        <f>J6*(Assumptions!B24+Assumptions!B25*0)</f>
        <v/>
      </c>
      <c r="K8" s="156">
        <f>K6*(Assumptions!B24+Assumptions!B25*0)</f>
        <v/>
      </c>
      <c r="L8" s="156">
        <f>L6*(Assumptions!B24+Assumptions!B25*0)</f>
        <v/>
      </c>
      <c r="M8" s="156">
        <f>M6*(Assumptions!B24+Assumptions!B25*0)</f>
        <v/>
      </c>
      <c r="N8" s="156">
        <f>N6*(Assumptions!B24+Assumptions!B25*0)</f>
        <v/>
      </c>
      <c r="O8" s="156">
        <f>O6*(Assumptions!B24+Assumptions!B25*1)</f>
        <v/>
      </c>
      <c r="P8" s="156">
        <f>P6*(Assumptions!B24+Assumptions!B25*1)</f>
        <v/>
      </c>
      <c r="Q8" s="156">
        <f>Q6*(Assumptions!B24+Assumptions!B25*1)</f>
        <v/>
      </c>
      <c r="R8" s="156">
        <f>R6*(Assumptions!B24+Assumptions!B25*1)</f>
        <v/>
      </c>
      <c r="S8" s="156">
        <f>S6*(Assumptions!B24+Assumptions!B25*1)</f>
        <v/>
      </c>
      <c r="T8" s="156">
        <f>T6*(Assumptions!B24+Assumptions!B25*1)</f>
        <v/>
      </c>
      <c r="U8" s="156">
        <f>U6*(Assumptions!B24+Assumptions!B25*1)</f>
        <v/>
      </c>
      <c r="V8" s="156">
        <f>V6*(Assumptions!B24+Assumptions!B25*1)</f>
        <v/>
      </c>
      <c r="W8" s="156">
        <f>W6*(Assumptions!B24+Assumptions!B25*1)</f>
        <v/>
      </c>
      <c r="X8" s="156">
        <f>X6*(Assumptions!B24+Assumptions!B25*1)</f>
        <v/>
      </c>
      <c r="Y8" s="156">
        <f>Y6*(Assumptions!B24+Assumptions!B25*1)</f>
        <v/>
      </c>
      <c r="Z8" s="156">
        <f>Z6*(Assumptions!B24+Assumptions!B25*1)</f>
        <v/>
      </c>
      <c r="AA8" s="156">
        <f>AA6*(Assumptions!B24+Assumptions!B25*2)</f>
        <v/>
      </c>
      <c r="AB8" s="156">
        <f>AB6*(Assumptions!B24+Assumptions!B25*2)</f>
        <v/>
      </c>
      <c r="AC8" s="156">
        <f>AC6*(Assumptions!B24+Assumptions!B25*2)</f>
        <v/>
      </c>
      <c r="AD8" s="156">
        <f>AD6*(Assumptions!B24+Assumptions!B25*2)</f>
        <v/>
      </c>
      <c r="AE8" s="156">
        <f>AE6*(Assumptions!B24+Assumptions!B25*2)</f>
        <v/>
      </c>
      <c r="AF8" s="156">
        <f>AF6*(Assumptions!B24+Assumptions!B25*2)</f>
        <v/>
      </c>
      <c r="AG8" s="156">
        <f>AG6*(Assumptions!B24+Assumptions!B25*2)</f>
        <v/>
      </c>
      <c r="AH8" s="156">
        <f>AH6*(Assumptions!B24+Assumptions!B25*2)</f>
        <v/>
      </c>
      <c r="AI8" s="156">
        <f>AI6*(Assumptions!B24+Assumptions!B25*2)</f>
        <v/>
      </c>
      <c r="AJ8" s="156">
        <f>AJ6*(Assumptions!B24+Assumptions!B25*2)</f>
        <v/>
      </c>
      <c r="AK8" s="156">
        <f>AK6*(Assumptions!B24+Assumptions!B25*2)</f>
        <v/>
      </c>
      <c r="AL8" s="156">
        <f>AL6*(Assumptions!B24+Assumptions!B25*2)</f>
        <v/>
      </c>
      <c r="AM8" s="156">
        <f>AM6*(Assumptions!B24+Assumptions!B25*3)</f>
        <v/>
      </c>
      <c r="AN8" s="156">
        <f>AN6*(Assumptions!B24+Assumptions!B25*3)</f>
        <v/>
      </c>
      <c r="AO8" s="156">
        <f>AO6*(Assumptions!B24+Assumptions!B25*3)</f>
        <v/>
      </c>
      <c r="AP8" s="156">
        <f>AP6*(Assumptions!B24+Assumptions!B25*3)</f>
        <v/>
      </c>
      <c r="AQ8" s="156">
        <f>AQ6*(Assumptions!B24+Assumptions!B25*3)</f>
        <v/>
      </c>
      <c r="AR8" s="156">
        <f>AR6*(Assumptions!B24+Assumptions!B25*3)</f>
        <v/>
      </c>
      <c r="AS8" s="156">
        <f>AS6*(Assumptions!B24+Assumptions!B25*3)</f>
        <v/>
      </c>
      <c r="AT8" s="156">
        <f>AT6*(Assumptions!B24+Assumptions!B25*3)</f>
        <v/>
      </c>
      <c r="AU8" s="156">
        <f>AU6*(Assumptions!B24+Assumptions!B25*3)</f>
        <v/>
      </c>
      <c r="AV8" s="156">
        <f>AV6*(Assumptions!B24+Assumptions!B25*3)</f>
        <v/>
      </c>
      <c r="AW8" s="156">
        <f>AW6*(Assumptions!B24+Assumptions!B25*3)</f>
        <v/>
      </c>
      <c r="AX8" s="156">
        <f>AX6*(Assumptions!B24+Assumptions!B25*3)</f>
        <v/>
      </c>
      <c r="AY8" s="156">
        <f>AY6*(Assumptions!B24+Assumptions!B25*4)</f>
        <v/>
      </c>
      <c r="AZ8" s="156">
        <f>AZ6*(Assumptions!B24+Assumptions!B25*4)</f>
        <v/>
      </c>
      <c r="BA8" s="156">
        <f>BA6*(Assumptions!B24+Assumptions!B25*4)</f>
        <v/>
      </c>
      <c r="BB8" s="156">
        <f>BB6*(Assumptions!B24+Assumptions!B25*4)</f>
        <v/>
      </c>
      <c r="BC8" s="156">
        <f>BC6*(Assumptions!B24+Assumptions!B25*4)</f>
        <v/>
      </c>
      <c r="BD8" s="156">
        <f>BD6*(Assumptions!B24+Assumptions!B25*4)</f>
        <v/>
      </c>
      <c r="BE8" s="156">
        <f>BE6*(Assumptions!B24+Assumptions!B25*4)</f>
        <v/>
      </c>
      <c r="BF8" s="156">
        <f>BF6*(Assumptions!B24+Assumptions!B25*4)</f>
        <v/>
      </c>
      <c r="BG8" s="156">
        <f>BG6*(Assumptions!B24+Assumptions!B25*4)</f>
        <v/>
      </c>
      <c r="BH8" s="156">
        <f>BH6*(Assumptions!B24+Assumptions!B25*4)</f>
        <v/>
      </c>
      <c r="BI8" s="156">
        <f>BI6*(Assumptions!B24+Assumptions!B25*4)</f>
        <v/>
      </c>
      <c r="BJ8" s="156">
        <f>BJ6*(Assumptions!B24+Assumptions!B25*4)</f>
        <v/>
      </c>
      <c r="BL8" s="157">
        <f>C8+D8+E8+F8+G8+H8+I8+J8+K8+L8+M8+N8</f>
        <v/>
      </c>
      <c r="BM8" s="157">
        <f>O8+P8+Q8+R8+S8+T8+U8+V8+W8+X8+Y8+Z8</f>
        <v/>
      </c>
      <c r="BN8" s="157">
        <f>AA8+AB8+AC8+AD8+AE8+AF8+AG8+AH8+AI8+AJ8+AK8+AL8</f>
        <v/>
      </c>
      <c r="BO8" s="157">
        <f>AM8+AN8+AO8+AP8+AQ8+AR8+AS8+AT8+AU8+AV8+AW8+AX8</f>
        <v/>
      </c>
      <c r="BP8" s="157">
        <f>AY8+AZ8+BA8+BB8+BC8+BD8+BE8+BF8+BG8+BH8+BI8+BJ8</f>
        <v/>
      </c>
    </row>
    <row r="9" ht="15" customHeight="1" s="104">
      <c r="A9" s="215" t="inlineStr">
        <is>
          <t xml:space="preserve">    % of Revenue</t>
        </is>
      </c>
      <c r="C9" s="216">
        <f>IF(C6=0,0,C8/C6)</f>
        <v/>
      </c>
      <c r="D9" s="216">
        <f>IF(D6=0,0,D8/D6)</f>
        <v/>
      </c>
      <c r="E9" s="216">
        <f>IF(E6=0,0,E8/E6)</f>
        <v/>
      </c>
      <c r="F9" s="216">
        <f>IF(F6=0,0,F8/F6)</f>
        <v/>
      </c>
      <c r="G9" s="216">
        <f>IF(G6=0,0,G8/G6)</f>
        <v/>
      </c>
      <c r="H9" s="216">
        <f>IF(H6=0,0,H8/H6)</f>
        <v/>
      </c>
      <c r="I9" s="216">
        <f>IF(I6=0,0,I8/I6)</f>
        <v/>
      </c>
      <c r="J9" s="216">
        <f>IF(J6=0,0,J8/J6)</f>
        <v/>
      </c>
      <c r="K9" s="216">
        <f>IF(K6=0,0,K8/K6)</f>
        <v/>
      </c>
      <c r="L9" s="216">
        <f>IF(L6=0,0,L8/L6)</f>
        <v/>
      </c>
      <c r="M9" s="216">
        <f>IF(M6=0,0,M8/M6)</f>
        <v/>
      </c>
      <c r="N9" s="216">
        <f>IF(N6=0,0,N8/N6)</f>
        <v/>
      </c>
      <c r="O9" s="216">
        <f>IF(O6=0,0,O8/O6)</f>
        <v/>
      </c>
      <c r="P9" s="216">
        <f>IF(P6=0,0,P8/P6)</f>
        <v/>
      </c>
      <c r="Q9" s="216">
        <f>IF(Q6=0,0,Q8/Q6)</f>
        <v/>
      </c>
      <c r="R9" s="216">
        <f>IF(R6=0,0,R8/R6)</f>
        <v/>
      </c>
      <c r="S9" s="216">
        <f>IF(S6=0,0,S8/S6)</f>
        <v/>
      </c>
      <c r="T9" s="216">
        <f>IF(T6=0,0,T8/T6)</f>
        <v/>
      </c>
      <c r="U9" s="216">
        <f>IF(U6=0,0,U8/U6)</f>
        <v/>
      </c>
      <c r="V9" s="216">
        <f>IF(V6=0,0,V8/V6)</f>
        <v/>
      </c>
      <c r="W9" s="216">
        <f>IF(W6=0,0,W8/W6)</f>
        <v/>
      </c>
      <c r="X9" s="216">
        <f>IF(X6=0,0,X8/X6)</f>
        <v/>
      </c>
      <c r="Y9" s="216">
        <f>IF(Y6=0,0,Y8/Y6)</f>
        <v/>
      </c>
      <c r="Z9" s="216">
        <f>IF(Z6=0,0,Z8/Z6)</f>
        <v/>
      </c>
      <c r="AA9" s="216">
        <f>IF(AA6=0,0,AA8/AA6)</f>
        <v/>
      </c>
      <c r="AB9" s="216">
        <f>IF(AB6=0,0,AB8/AB6)</f>
        <v/>
      </c>
      <c r="AC9" s="216">
        <f>IF(AC6=0,0,AC8/AC6)</f>
        <v/>
      </c>
      <c r="AD9" s="216">
        <f>IF(AD6=0,0,AD8/AD6)</f>
        <v/>
      </c>
      <c r="AE9" s="216">
        <f>IF(AE6=0,0,AE8/AE6)</f>
        <v/>
      </c>
      <c r="AF9" s="216">
        <f>IF(AF6=0,0,AF8/AF6)</f>
        <v/>
      </c>
      <c r="AG9" s="216">
        <f>IF(AG6=0,0,AG8/AG6)</f>
        <v/>
      </c>
      <c r="AH9" s="216">
        <f>IF(AH6=0,0,AH8/AH6)</f>
        <v/>
      </c>
      <c r="AI9" s="216">
        <f>IF(AI6=0,0,AI8/AI6)</f>
        <v/>
      </c>
      <c r="AJ9" s="216">
        <f>IF(AJ6=0,0,AJ8/AJ6)</f>
        <v/>
      </c>
      <c r="AK9" s="216">
        <f>IF(AK6=0,0,AK8/AK6)</f>
        <v/>
      </c>
      <c r="AL9" s="216">
        <f>IF(AL6=0,0,AL8/AL6)</f>
        <v/>
      </c>
      <c r="AM9" s="216">
        <f>IF(AM6=0,0,AM8/AM6)</f>
        <v/>
      </c>
      <c r="AN9" s="216">
        <f>IF(AN6=0,0,AN8/AN6)</f>
        <v/>
      </c>
      <c r="AO9" s="216">
        <f>IF(AO6=0,0,AO8/AO6)</f>
        <v/>
      </c>
      <c r="AP9" s="216">
        <f>IF(AP6=0,0,AP8/AP6)</f>
        <v/>
      </c>
      <c r="AQ9" s="216">
        <f>IF(AQ6=0,0,AQ8/AQ6)</f>
        <v/>
      </c>
      <c r="AR9" s="216">
        <f>IF(AR6=0,0,AR8/AR6)</f>
        <v/>
      </c>
      <c r="AS9" s="216">
        <f>IF(AS6=0,0,AS8/AS6)</f>
        <v/>
      </c>
      <c r="AT9" s="216">
        <f>IF(AT6=0,0,AT8/AT6)</f>
        <v/>
      </c>
      <c r="AU9" s="216">
        <f>IF(AU6=0,0,AU8/AU6)</f>
        <v/>
      </c>
      <c r="AV9" s="216">
        <f>IF(AV6=0,0,AV8/AV6)</f>
        <v/>
      </c>
      <c r="AW9" s="216">
        <f>IF(AW6=0,0,AW8/AW6)</f>
        <v/>
      </c>
      <c r="AX9" s="216">
        <f>IF(AX6=0,0,AX8/AX6)</f>
        <v/>
      </c>
      <c r="AY9" s="216">
        <f>IF(AY6=0,0,AY8/AY6)</f>
        <v/>
      </c>
      <c r="AZ9" s="216">
        <f>IF(AZ6=0,0,AZ8/AZ6)</f>
        <v/>
      </c>
      <c r="BA9" s="216">
        <f>IF(BA6=0,0,BA8/BA6)</f>
        <v/>
      </c>
      <c r="BB9" s="216">
        <f>IF(BB6=0,0,BB8/BB6)</f>
        <v/>
      </c>
      <c r="BC9" s="216">
        <f>IF(BC6=0,0,BC8/BC6)</f>
        <v/>
      </c>
      <c r="BD9" s="216">
        <f>IF(BD6=0,0,BD8/BD6)</f>
        <v/>
      </c>
      <c r="BE9" s="216">
        <f>IF(BE6=0,0,BE8/BE6)</f>
        <v/>
      </c>
      <c r="BF9" s="216">
        <f>IF(BF6=0,0,BF8/BF6)</f>
        <v/>
      </c>
      <c r="BG9" s="216">
        <f>IF(BG6=0,0,BG8/BG6)</f>
        <v/>
      </c>
      <c r="BH9" s="216">
        <f>IF(BH6=0,0,BH8/BH6)</f>
        <v/>
      </c>
      <c r="BI9" s="216">
        <f>IF(BI6=0,0,BI8/BI6)</f>
        <v/>
      </c>
      <c r="BJ9" s="216">
        <f>IF(BJ6=0,0,BJ8/BJ6)</f>
        <v/>
      </c>
      <c r="BL9" s="217">
        <f>IF((C6+D6+E6+F6+G6+H6+I6+J6+K6+L6+M6+N6)=0,0,(C8+D8+E8+F8+G8+H8+I8+J8+K8+L8+M8+N8)/(C6+D6+E6+F6+G6+H6+I6+J6+K6+L6+M6+N6))</f>
        <v/>
      </c>
      <c r="BM9" s="217">
        <f>IF((O6+P6+Q6+R6+S6+T6+U6+V6+W6+X6+Y6+Z6)=0,0,(O8+P8+Q8+R8+S8+T8+U8+V8+W8+X8+Y8+Z8)/(O6+P6+Q6+R6+S6+T6+U6+V6+W6+X6+Y6+Z6))</f>
        <v/>
      </c>
      <c r="BN9" s="217">
        <f>IF((AA6+AB6+AC6+AD6+AE6+AF6+AG6+AH6+AI6+AJ6+AK6+AL6)=0,0,(AA8+AB8+AC8+AD8+AE8+AF8+AG8+AH8+AI8+AJ8+AK8+AL8)/(AA6+AB6+AC6+AD6+AE6+AF6+AG6+AH6+AI6+AJ6+AK6+AL6))</f>
        <v/>
      </c>
      <c r="BO9" s="217">
        <f>IF((AM6+AN6+AO6+AP6+AQ6+AR6+AS6+AT6+AU6+AV6+AW6+AX6)=0,0,(AM8+AN8+AO8+AP8+AQ8+AR8+AS8+AT8+AU8+AV8+AW8+AX8)/(AM6+AN6+AO6+AP6+AQ6+AR6+AS6+AT6+AU6+AV6+AW6+AX6))</f>
        <v/>
      </c>
      <c r="BP9" s="217">
        <f>IF((AY6+AZ6+BA6+BB6+BC6+BD6+BE6+BF6+BG6+BH6+BI6+BJ6)=0,0,(AY8+AZ8+BA8+BB8+BC8+BD8+BE8+BF8+BG8+BH8+BI8+BJ8)/(AY6+AZ6+BA6+BB6+BC6+BD6+BE6+BF6+BG6+BH6+BI6+BJ6))</f>
        <v/>
      </c>
    </row>
    <row r="10" ht="15" customHeight="1" s="104">
      <c r="A10" s="107" t="inlineStr">
        <is>
          <t>Staff Compensation</t>
        </is>
      </c>
      <c r="C10" s="156">
        <f>C6*(Assumptions!B26+Assumptions!B27*0)</f>
        <v/>
      </c>
      <c r="D10" s="156">
        <f>D6*(Assumptions!B26+Assumptions!B27*0)</f>
        <v/>
      </c>
      <c r="E10" s="156">
        <f>E6*(Assumptions!B26+Assumptions!B27*0)</f>
        <v/>
      </c>
      <c r="F10" s="156">
        <f>F6*(Assumptions!B26+Assumptions!B27*0)</f>
        <v/>
      </c>
      <c r="G10" s="156">
        <f>G6*(Assumptions!B26+Assumptions!B27*0)</f>
        <v/>
      </c>
      <c r="H10" s="156">
        <f>H6*(Assumptions!B26+Assumptions!B27*0)</f>
        <v/>
      </c>
      <c r="I10" s="156">
        <f>I6*(Assumptions!B26+Assumptions!B27*0)</f>
        <v/>
      </c>
      <c r="J10" s="156">
        <f>J6*(Assumptions!B26+Assumptions!B27*0)</f>
        <v/>
      </c>
      <c r="K10" s="156">
        <f>K6*(Assumptions!B26+Assumptions!B27*0)</f>
        <v/>
      </c>
      <c r="L10" s="156">
        <f>L6*(Assumptions!B26+Assumptions!B27*0)</f>
        <v/>
      </c>
      <c r="M10" s="156">
        <f>M6*(Assumptions!B26+Assumptions!B27*0)</f>
        <v/>
      </c>
      <c r="N10" s="156">
        <f>N6*(Assumptions!B26+Assumptions!B27*0)</f>
        <v/>
      </c>
      <c r="O10" s="156">
        <f>O6*(Assumptions!B26+Assumptions!B27*1)</f>
        <v/>
      </c>
      <c r="P10" s="156">
        <f>P6*(Assumptions!B26+Assumptions!B27*1)</f>
        <v/>
      </c>
      <c r="Q10" s="156">
        <f>Q6*(Assumptions!B26+Assumptions!B27*1)</f>
        <v/>
      </c>
      <c r="R10" s="156">
        <f>R6*(Assumptions!B26+Assumptions!B27*1)</f>
        <v/>
      </c>
      <c r="S10" s="156">
        <f>S6*(Assumptions!B26+Assumptions!B27*1)</f>
        <v/>
      </c>
      <c r="T10" s="156">
        <f>T6*(Assumptions!B26+Assumptions!B27*1)</f>
        <v/>
      </c>
      <c r="U10" s="156">
        <f>U6*(Assumptions!B26+Assumptions!B27*1)</f>
        <v/>
      </c>
      <c r="V10" s="156">
        <f>V6*(Assumptions!B26+Assumptions!B27*1)</f>
        <v/>
      </c>
      <c r="W10" s="156">
        <f>W6*(Assumptions!B26+Assumptions!B27*1)</f>
        <v/>
      </c>
      <c r="X10" s="156">
        <f>X6*(Assumptions!B26+Assumptions!B27*1)</f>
        <v/>
      </c>
      <c r="Y10" s="156">
        <f>Y6*(Assumptions!B26+Assumptions!B27*1)</f>
        <v/>
      </c>
      <c r="Z10" s="156">
        <f>Z6*(Assumptions!B26+Assumptions!B27*1)</f>
        <v/>
      </c>
      <c r="AA10" s="156">
        <f>AA6*(Assumptions!B26+Assumptions!B27*2)</f>
        <v/>
      </c>
      <c r="AB10" s="156">
        <f>AB6*(Assumptions!B26+Assumptions!B27*2)</f>
        <v/>
      </c>
      <c r="AC10" s="156">
        <f>AC6*(Assumptions!B26+Assumptions!B27*2)</f>
        <v/>
      </c>
      <c r="AD10" s="156">
        <f>AD6*(Assumptions!B26+Assumptions!B27*2)</f>
        <v/>
      </c>
      <c r="AE10" s="156">
        <f>AE6*(Assumptions!B26+Assumptions!B27*2)</f>
        <v/>
      </c>
      <c r="AF10" s="156">
        <f>AF6*(Assumptions!B26+Assumptions!B27*2)</f>
        <v/>
      </c>
      <c r="AG10" s="156">
        <f>AG6*(Assumptions!B26+Assumptions!B27*2)</f>
        <v/>
      </c>
      <c r="AH10" s="156">
        <f>AH6*(Assumptions!B26+Assumptions!B27*2)</f>
        <v/>
      </c>
      <c r="AI10" s="156">
        <f>AI6*(Assumptions!B26+Assumptions!B27*2)</f>
        <v/>
      </c>
      <c r="AJ10" s="156">
        <f>AJ6*(Assumptions!B26+Assumptions!B27*2)</f>
        <v/>
      </c>
      <c r="AK10" s="156">
        <f>AK6*(Assumptions!B26+Assumptions!B27*2)</f>
        <v/>
      </c>
      <c r="AL10" s="156">
        <f>AL6*(Assumptions!B26+Assumptions!B27*2)</f>
        <v/>
      </c>
      <c r="AM10" s="156">
        <f>AM6*(Assumptions!B26+Assumptions!B27*3)</f>
        <v/>
      </c>
      <c r="AN10" s="156">
        <f>AN6*(Assumptions!B26+Assumptions!B27*3)</f>
        <v/>
      </c>
      <c r="AO10" s="156">
        <f>AO6*(Assumptions!B26+Assumptions!B27*3)</f>
        <v/>
      </c>
      <c r="AP10" s="156">
        <f>AP6*(Assumptions!B26+Assumptions!B27*3)</f>
        <v/>
      </c>
      <c r="AQ10" s="156">
        <f>AQ6*(Assumptions!B26+Assumptions!B27*3)</f>
        <v/>
      </c>
      <c r="AR10" s="156">
        <f>AR6*(Assumptions!B26+Assumptions!B27*3)</f>
        <v/>
      </c>
      <c r="AS10" s="156">
        <f>AS6*(Assumptions!B26+Assumptions!B27*3)</f>
        <v/>
      </c>
      <c r="AT10" s="156">
        <f>AT6*(Assumptions!B26+Assumptions!B27*3)</f>
        <v/>
      </c>
      <c r="AU10" s="156">
        <f>AU6*(Assumptions!B26+Assumptions!B27*3)</f>
        <v/>
      </c>
      <c r="AV10" s="156">
        <f>AV6*(Assumptions!B26+Assumptions!B27*3)</f>
        <v/>
      </c>
      <c r="AW10" s="156">
        <f>AW6*(Assumptions!B26+Assumptions!B27*3)</f>
        <v/>
      </c>
      <c r="AX10" s="156">
        <f>AX6*(Assumptions!B26+Assumptions!B27*3)</f>
        <v/>
      </c>
      <c r="AY10" s="156">
        <f>AY6*(Assumptions!B26+Assumptions!B27*4)</f>
        <v/>
      </c>
      <c r="AZ10" s="156">
        <f>AZ6*(Assumptions!B26+Assumptions!B27*4)</f>
        <v/>
      </c>
      <c r="BA10" s="156">
        <f>BA6*(Assumptions!B26+Assumptions!B27*4)</f>
        <v/>
      </c>
      <c r="BB10" s="156">
        <f>BB6*(Assumptions!B26+Assumptions!B27*4)</f>
        <v/>
      </c>
      <c r="BC10" s="156">
        <f>BC6*(Assumptions!B26+Assumptions!B27*4)</f>
        <v/>
      </c>
      <c r="BD10" s="156">
        <f>BD6*(Assumptions!B26+Assumptions!B27*4)</f>
        <v/>
      </c>
      <c r="BE10" s="156">
        <f>BE6*(Assumptions!B26+Assumptions!B27*4)</f>
        <v/>
      </c>
      <c r="BF10" s="156">
        <f>BF6*(Assumptions!B26+Assumptions!B27*4)</f>
        <v/>
      </c>
      <c r="BG10" s="156">
        <f>BG6*(Assumptions!B26+Assumptions!B27*4)</f>
        <v/>
      </c>
      <c r="BH10" s="156">
        <f>BH6*(Assumptions!B26+Assumptions!B27*4)</f>
        <v/>
      </c>
      <c r="BI10" s="156">
        <f>BI6*(Assumptions!B26+Assumptions!B27*4)</f>
        <v/>
      </c>
      <c r="BJ10" s="156">
        <f>BJ6*(Assumptions!B26+Assumptions!B27*4)</f>
        <v/>
      </c>
      <c r="BL10" s="157">
        <f>C10+D10+E10+F10+G10+H10+I10+J10+K10+L10+M10+N10</f>
        <v/>
      </c>
      <c r="BM10" s="157">
        <f>O10+P10+Q10+R10+S10+T10+U10+V10+W10+X10+Y10+Z10</f>
        <v/>
      </c>
      <c r="BN10" s="157">
        <f>AA10+AB10+AC10+AD10+AE10+AF10+AG10+AH10+AI10+AJ10+AK10+AL10</f>
        <v/>
      </c>
      <c r="BO10" s="157">
        <f>AM10+AN10+AO10+AP10+AQ10+AR10+AS10+AT10+AU10+AV10+AW10+AX10</f>
        <v/>
      </c>
      <c r="BP10" s="157">
        <f>AY10+AZ10+BA10+BB10+BC10+BD10+BE10+BF10+BG10+BH10+BI10+BJ10</f>
        <v/>
      </c>
    </row>
    <row r="11" ht="15" customHeight="1" s="104">
      <c r="A11" s="215" t="inlineStr">
        <is>
          <t xml:space="preserve">    % of Revenue</t>
        </is>
      </c>
      <c r="C11" s="216">
        <f>IF(C6=0,0,C10/C6)</f>
        <v/>
      </c>
      <c r="D11" s="216">
        <f>IF(D6=0,0,D10/D6)</f>
        <v/>
      </c>
      <c r="E11" s="216">
        <f>IF(E6=0,0,E10/E6)</f>
        <v/>
      </c>
      <c r="F11" s="216">
        <f>IF(F6=0,0,F10/F6)</f>
        <v/>
      </c>
      <c r="G11" s="216">
        <f>IF(G6=0,0,G10/G6)</f>
        <v/>
      </c>
      <c r="H11" s="216">
        <f>IF(H6=0,0,H10/H6)</f>
        <v/>
      </c>
      <c r="I11" s="216">
        <f>IF(I6=0,0,I10/I6)</f>
        <v/>
      </c>
      <c r="J11" s="216">
        <f>IF(J6=0,0,J10/J6)</f>
        <v/>
      </c>
      <c r="K11" s="216">
        <f>IF(K6=0,0,K10/K6)</f>
        <v/>
      </c>
      <c r="L11" s="216">
        <f>IF(L6=0,0,L10/L6)</f>
        <v/>
      </c>
      <c r="M11" s="216">
        <f>IF(M6=0,0,M10/M6)</f>
        <v/>
      </c>
      <c r="N11" s="216">
        <f>IF(N6=0,0,N10/N6)</f>
        <v/>
      </c>
      <c r="O11" s="216">
        <f>IF(O6=0,0,O10/O6)</f>
        <v/>
      </c>
      <c r="P11" s="216">
        <f>IF(P6=0,0,P10/P6)</f>
        <v/>
      </c>
      <c r="Q11" s="216">
        <f>IF(Q6=0,0,Q10/Q6)</f>
        <v/>
      </c>
      <c r="R11" s="216">
        <f>IF(R6=0,0,R10/R6)</f>
        <v/>
      </c>
      <c r="S11" s="216">
        <f>IF(S6=0,0,S10/S6)</f>
        <v/>
      </c>
      <c r="T11" s="216">
        <f>IF(T6=0,0,T10/T6)</f>
        <v/>
      </c>
      <c r="U11" s="216">
        <f>IF(U6=0,0,U10/U6)</f>
        <v/>
      </c>
      <c r="V11" s="216">
        <f>IF(V6=0,0,V10/V6)</f>
        <v/>
      </c>
      <c r="W11" s="216">
        <f>IF(W6=0,0,W10/W6)</f>
        <v/>
      </c>
      <c r="X11" s="216">
        <f>IF(X6=0,0,X10/X6)</f>
        <v/>
      </c>
      <c r="Y11" s="216">
        <f>IF(Y6=0,0,Y10/Y6)</f>
        <v/>
      </c>
      <c r="Z11" s="216">
        <f>IF(Z6=0,0,Z10/Z6)</f>
        <v/>
      </c>
      <c r="AA11" s="216">
        <f>IF(AA6=0,0,AA10/AA6)</f>
        <v/>
      </c>
      <c r="AB11" s="216">
        <f>IF(AB6=0,0,AB10/AB6)</f>
        <v/>
      </c>
      <c r="AC11" s="216">
        <f>IF(AC6=0,0,AC10/AC6)</f>
        <v/>
      </c>
      <c r="AD11" s="216">
        <f>IF(AD6=0,0,AD10/AD6)</f>
        <v/>
      </c>
      <c r="AE11" s="216">
        <f>IF(AE6=0,0,AE10/AE6)</f>
        <v/>
      </c>
      <c r="AF11" s="216">
        <f>IF(AF6=0,0,AF10/AF6)</f>
        <v/>
      </c>
      <c r="AG11" s="216">
        <f>IF(AG6=0,0,AG10/AG6)</f>
        <v/>
      </c>
      <c r="AH11" s="216">
        <f>IF(AH6=0,0,AH10/AH6)</f>
        <v/>
      </c>
      <c r="AI11" s="216">
        <f>IF(AI6=0,0,AI10/AI6)</f>
        <v/>
      </c>
      <c r="AJ11" s="216">
        <f>IF(AJ6=0,0,AJ10/AJ6)</f>
        <v/>
      </c>
      <c r="AK11" s="216">
        <f>IF(AK6=0,0,AK10/AK6)</f>
        <v/>
      </c>
      <c r="AL11" s="216">
        <f>IF(AL6=0,0,AL10/AL6)</f>
        <v/>
      </c>
      <c r="AM11" s="216">
        <f>IF(AM6=0,0,AM10/AM6)</f>
        <v/>
      </c>
      <c r="AN11" s="216">
        <f>IF(AN6=0,0,AN10/AN6)</f>
        <v/>
      </c>
      <c r="AO11" s="216">
        <f>IF(AO6=0,0,AO10/AO6)</f>
        <v/>
      </c>
      <c r="AP11" s="216">
        <f>IF(AP6=0,0,AP10/AP6)</f>
        <v/>
      </c>
      <c r="AQ11" s="216">
        <f>IF(AQ6=0,0,AQ10/AQ6)</f>
        <v/>
      </c>
      <c r="AR11" s="216">
        <f>IF(AR6=0,0,AR10/AR6)</f>
        <v/>
      </c>
      <c r="AS11" s="216">
        <f>IF(AS6=0,0,AS10/AS6)</f>
        <v/>
      </c>
      <c r="AT11" s="216">
        <f>IF(AT6=0,0,AT10/AT6)</f>
        <v/>
      </c>
      <c r="AU11" s="216">
        <f>IF(AU6=0,0,AU10/AU6)</f>
        <v/>
      </c>
      <c r="AV11" s="216">
        <f>IF(AV6=0,0,AV10/AV6)</f>
        <v/>
      </c>
      <c r="AW11" s="216">
        <f>IF(AW6=0,0,AW10/AW6)</f>
        <v/>
      </c>
      <c r="AX11" s="216">
        <f>IF(AX6=0,0,AX10/AX6)</f>
        <v/>
      </c>
      <c r="AY11" s="216">
        <f>IF(AY6=0,0,AY10/AY6)</f>
        <v/>
      </c>
      <c r="AZ11" s="216">
        <f>IF(AZ6=0,0,AZ10/AZ6)</f>
        <v/>
      </c>
      <c r="BA11" s="216">
        <f>IF(BA6=0,0,BA10/BA6)</f>
        <v/>
      </c>
      <c r="BB11" s="216">
        <f>IF(BB6=0,0,BB10/BB6)</f>
        <v/>
      </c>
      <c r="BC11" s="216">
        <f>IF(BC6=0,0,BC10/BC6)</f>
        <v/>
      </c>
      <c r="BD11" s="216">
        <f>IF(BD6=0,0,BD10/BD6)</f>
        <v/>
      </c>
      <c r="BE11" s="216">
        <f>IF(BE6=0,0,BE10/BE6)</f>
        <v/>
      </c>
      <c r="BF11" s="216">
        <f>IF(BF6=0,0,BF10/BF6)</f>
        <v/>
      </c>
      <c r="BG11" s="216">
        <f>IF(BG6=0,0,BG10/BG6)</f>
        <v/>
      </c>
      <c r="BH11" s="216">
        <f>IF(BH6=0,0,BH10/BH6)</f>
        <v/>
      </c>
      <c r="BI11" s="216">
        <f>IF(BI6=0,0,BI10/BI6)</f>
        <v/>
      </c>
      <c r="BJ11" s="216">
        <f>IF(BJ6=0,0,BJ10/BJ6)</f>
        <v/>
      </c>
      <c r="BL11" s="217">
        <f>IF((C6+D6+E6+F6+G6+H6+I6+J6+K6+L6+M6+N6)=0,0,(C10+D10+E10+F10+G10+H10+I10+J10+K10+L10+M10+N10)/(C6+D6+E6+F6+G6+H6+I6+J6+K6+L6+M6+N6))</f>
        <v/>
      </c>
      <c r="BM11" s="217">
        <f>IF((O6+P6+Q6+R6+S6+T6+U6+V6+W6+X6+Y6+Z6)=0,0,(O10+P10+Q10+R10+S10+T10+U10+V10+W10+X10+Y10+Z10)/(O6+P6+Q6+R6+S6+T6+U6+V6+W6+X6+Y6+Z6))</f>
        <v/>
      </c>
      <c r="BN11" s="217">
        <f>IF((AA6+AB6+AC6+AD6+AE6+AF6+AG6+AH6+AI6+AJ6+AK6+AL6)=0,0,(AA10+AB10+AC10+AD10+AE10+AF10+AG10+AH10+AI10+AJ10+AK10+AL10)/(AA6+AB6+AC6+AD6+AE6+AF6+AG6+AH6+AI6+AJ6+AK6+AL6))</f>
        <v/>
      </c>
      <c r="BO11" s="217">
        <f>IF((AM6+AN6+AO6+AP6+AQ6+AR6+AS6+AT6+AU6+AV6+AW6+AX6)=0,0,(AM10+AN10+AO10+AP10+AQ10+AR10+AS10+AT10+AU10+AV10+AW10+AX10)/(AM6+AN6+AO6+AP6+AQ6+AR6+AS6+AT6+AU6+AV6+AW6+AX6))</f>
        <v/>
      </c>
      <c r="BP11" s="217">
        <f>IF((AY6+AZ6+BA6+BB6+BC6+BD6+BE6+BF6+BG6+BH6+BI6+BJ6)=0,0,(AY10+AZ10+BA10+BB10+BC10+BD10+BE10+BF10+BG10+BH10+BI10+BJ10)/(AY6+AZ6+BA6+BB6+BC6+BD6+BE6+BF6+BG6+BH6+BI6+BJ6))</f>
        <v/>
      </c>
    </row>
    <row r="12" ht="15" customHeight="1" s="104">
      <c r="A12" s="107" t="inlineStr">
        <is>
          <t>Occupancy &amp; Facilities</t>
        </is>
      </c>
      <c r="C12" s="156">
        <f>C6*(Assumptions!B28+Assumptions!B29*0)</f>
        <v/>
      </c>
      <c r="D12" s="156">
        <f>D6*(Assumptions!B28+Assumptions!B29*0)</f>
        <v/>
      </c>
      <c r="E12" s="156">
        <f>E6*(Assumptions!B28+Assumptions!B29*0)</f>
        <v/>
      </c>
      <c r="F12" s="156">
        <f>F6*(Assumptions!B28+Assumptions!B29*0)</f>
        <v/>
      </c>
      <c r="G12" s="156">
        <f>G6*(Assumptions!B28+Assumptions!B29*0)</f>
        <v/>
      </c>
      <c r="H12" s="156">
        <f>H6*(Assumptions!B28+Assumptions!B29*0)</f>
        <v/>
      </c>
      <c r="I12" s="156">
        <f>I6*(Assumptions!B28+Assumptions!B29*0)</f>
        <v/>
      </c>
      <c r="J12" s="156">
        <f>J6*(Assumptions!B28+Assumptions!B29*0)</f>
        <v/>
      </c>
      <c r="K12" s="156">
        <f>K6*(Assumptions!B28+Assumptions!B29*0)</f>
        <v/>
      </c>
      <c r="L12" s="156">
        <f>L6*(Assumptions!B28+Assumptions!B29*0)</f>
        <v/>
      </c>
      <c r="M12" s="156">
        <f>M6*(Assumptions!B28+Assumptions!B29*0)</f>
        <v/>
      </c>
      <c r="N12" s="156">
        <f>N6*(Assumptions!B28+Assumptions!B29*0)</f>
        <v/>
      </c>
      <c r="O12" s="156">
        <f>O6*(Assumptions!B28+Assumptions!B29*1)</f>
        <v/>
      </c>
      <c r="P12" s="156">
        <f>P6*(Assumptions!B28+Assumptions!B29*1)</f>
        <v/>
      </c>
      <c r="Q12" s="156">
        <f>Q6*(Assumptions!B28+Assumptions!B29*1)</f>
        <v/>
      </c>
      <c r="R12" s="156">
        <f>R6*(Assumptions!B28+Assumptions!B29*1)</f>
        <v/>
      </c>
      <c r="S12" s="156">
        <f>S6*(Assumptions!B28+Assumptions!B29*1)</f>
        <v/>
      </c>
      <c r="T12" s="156">
        <f>T6*(Assumptions!B28+Assumptions!B29*1)</f>
        <v/>
      </c>
      <c r="U12" s="156">
        <f>U6*(Assumptions!B28+Assumptions!B29*1)</f>
        <v/>
      </c>
      <c r="V12" s="156">
        <f>V6*(Assumptions!B28+Assumptions!B29*1)</f>
        <v/>
      </c>
      <c r="W12" s="156">
        <f>W6*(Assumptions!B28+Assumptions!B29*1)</f>
        <v/>
      </c>
      <c r="X12" s="156">
        <f>X6*(Assumptions!B28+Assumptions!B29*1)</f>
        <v/>
      </c>
      <c r="Y12" s="156">
        <f>Y6*(Assumptions!B28+Assumptions!B29*1)</f>
        <v/>
      </c>
      <c r="Z12" s="156">
        <f>Z6*(Assumptions!B28+Assumptions!B29*1)</f>
        <v/>
      </c>
      <c r="AA12" s="156">
        <f>AA6*(Assumptions!B28+Assumptions!B29*2)</f>
        <v/>
      </c>
      <c r="AB12" s="156">
        <f>AB6*(Assumptions!B28+Assumptions!B29*2)</f>
        <v/>
      </c>
      <c r="AC12" s="156">
        <f>AC6*(Assumptions!B28+Assumptions!B29*2)</f>
        <v/>
      </c>
      <c r="AD12" s="156">
        <f>AD6*(Assumptions!B28+Assumptions!B29*2)</f>
        <v/>
      </c>
      <c r="AE12" s="156">
        <f>AE6*(Assumptions!B28+Assumptions!B29*2)</f>
        <v/>
      </c>
      <c r="AF12" s="156">
        <f>AF6*(Assumptions!B28+Assumptions!B29*2)</f>
        <v/>
      </c>
      <c r="AG12" s="156">
        <f>AG6*(Assumptions!B28+Assumptions!B29*2)</f>
        <v/>
      </c>
      <c r="AH12" s="156">
        <f>AH6*(Assumptions!B28+Assumptions!B29*2)</f>
        <v/>
      </c>
      <c r="AI12" s="156">
        <f>AI6*(Assumptions!B28+Assumptions!B29*2)</f>
        <v/>
      </c>
      <c r="AJ12" s="156">
        <f>AJ6*(Assumptions!B28+Assumptions!B29*2)</f>
        <v/>
      </c>
      <c r="AK12" s="156">
        <f>AK6*(Assumptions!B28+Assumptions!B29*2)</f>
        <v/>
      </c>
      <c r="AL12" s="156">
        <f>AL6*(Assumptions!B28+Assumptions!B29*2)</f>
        <v/>
      </c>
      <c r="AM12" s="156">
        <f>AM6*(Assumptions!B28+Assumptions!B29*3)</f>
        <v/>
      </c>
      <c r="AN12" s="156">
        <f>AN6*(Assumptions!B28+Assumptions!B29*3)</f>
        <v/>
      </c>
      <c r="AO12" s="156">
        <f>AO6*(Assumptions!B28+Assumptions!B29*3)</f>
        <v/>
      </c>
      <c r="AP12" s="156">
        <f>AP6*(Assumptions!B28+Assumptions!B29*3)</f>
        <v/>
      </c>
      <c r="AQ12" s="156">
        <f>AQ6*(Assumptions!B28+Assumptions!B29*3)</f>
        <v/>
      </c>
      <c r="AR12" s="156">
        <f>AR6*(Assumptions!B28+Assumptions!B29*3)</f>
        <v/>
      </c>
      <c r="AS12" s="156">
        <f>AS6*(Assumptions!B28+Assumptions!B29*3)</f>
        <v/>
      </c>
      <c r="AT12" s="156">
        <f>AT6*(Assumptions!B28+Assumptions!B29*3)</f>
        <v/>
      </c>
      <c r="AU12" s="156">
        <f>AU6*(Assumptions!B28+Assumptions!B29*3)</f>
        <v/>
      </c>
      <c r="AV12" s="156">
        <f>AV6*(Assumptions!B28+Assumptions!B29*3)</f>
        <v/>
      </c>
      <c r="AW12" s="156">
        <f>AW6*(Assumptions!B28+Assumptions!B29*3)</f>
        <v/>
      </c>
      <c r="AX12" s="156">
        <f>AX6*(Assumptions!B28+Assumptions!B29*3)</f>
        <v/>
      </c>
      <c r="AY12" s="156">
        <f>AY6*(Assumptions!B28+Assumptions!B29*4)</f>
        <v/>
      </c>
      <c r="AZ12" s="156">
        <f>AZ6*(Assumptions!B28+Assumptions!B29*4)</f>
        <v/>
      </c>
      <c r="BA12" s="156">
        <f>BA6*(Assumptions!B28+Assumptions!B29*4)</f>
        <v/>
      </c>
      <c r="BB12" s="156">
        <f>BB6*(Assumptions!B28+Assumptions!B29*4)</f>
        <v/>
      </c>
      <c r="BC12" s="156">
        <f>BC6*(Assumptions!B28+Assumptions!B29*4)</f>
        <v/>
      </c>
      <c r="BD12" s="156">
        <f>BD6*(Assumptions!B28+Assumptions!B29*4)</f>
        <v/>
      </c>
      <c r="BE12" s="156">
        <f>BE6*(Assumptions!B28+Assumptions!B29*4)</f>
        <v/>
      </c>
      <c r="BF12" s="156">
        <f>BF6*(Assumptions!B28+Assumptions!B29*4)</f>
        <v/>
      </c>
      <c r="BG12" s="156">
        <f>BG6*(Assumptions!B28+Assumptions!B29*4)</f>
        <v/>
      </c>
      <c r="BH12" s="156">
        <f>BH6*(Assumptions!B28+Assumptions!B29*4)</f>
        <v/>
      </c>
      <c r="BI12" s="156">
        <f>BI6*(Assumptions!B28+Assumptions!B29*4)</f>
        <v/>
      </c>
      <c r="BJ12" s="156">
        <f>BJ6*(Assumptions!B28+Assumptions!B29*4)</f>
        <v/>
      </c>
      <c r="BL12" s="157">
        <f>C12+D12+E12+F12+G12+H12+I12+J12+K12+L12+M12+N12</f>
        <v/>
      </c>
      <c r="BM12" s="157">
        <f>O12+P12+Q12+R12+S12+T12+U12+V12+W12+X12+Y12+Z12</f>
        <v/>
      </c>
      <c r="BN12" s="157">
        <f>AA12+AB12+AC12+AD12+AE12+AF12+AG12+AH12+AI12+AJ12+AK12+AL12</f>
        <v/>
      </c>
      <c r="BO12" s="157">
        <f>AM12+AN12+AO12+AP12+AQ12+AR12+AS12+AT12+AU12+AV12+AW12+AX12</f>
        <v/>
      </c>
      <c r="BP12" s="157">
        <f>AY12+AZ12+BA12+BB12+BC12+BD12+BE12+BF12+BG12+BH12+BI12+BJ12</f>
        <v/>
      </c>
    </row>
    <row r="13" ht="15" customHeight="1" s="104">
      <c r="A13" s="215" t="inlineStr">
        <is>
          <t xml:space="preserve">    % of Revenue</t>
        </is>
      </c>
      <c r="C13" s="216">
        <f>IF(C6=0,0,C12/C6)</f>
        <v/>
      </c>
      <c r="D13" s="216">
        <f>IF(D6=0,0,D12/D6)</f>
        <v/>
      </c>
      <c r="E13" s="216">
        <f>IF(E6=0,0,E12/E6)</f>
        <v/>
      </c>
      <c r="F13" s="216">
        <f>IF(F6=0,0,F12/F6)</f>
        <v/>
      </c>
      <c r="G13" s="216">
        <f>IF(G6=0,0,G12/G6)</f>
        <v/>
      </c>
      <c r="H13" s="216">
        <f>IF(H6=0,0,H12/H6)</f>
        <v/>
      </c>
      <c r="I13" s="216">
        <f>IF(I6=0,0,I12/I6)</f>
        <v/>
      </c>
      <c r="J13" s="216">
        <f>IF(J6=0,0,J12/J6)</f>
        <v/>
      </c>
      <c r="K13" s="216">
        <f>IF(K6=0,0,K12/K6)</f>
        <v/>
      </c>
      <c r="L13" s="216">
        <f>IF(L6=0,0,L12/L6)</f>
        <v/>
      </c>
      <c r="M13" s="216">
        <f>IF(M6=0,0,M12/M6)</f>
        <v/>
      </c>
      <c r="N13" s="216">
        <f>IF(N6=0,0,N12/N6)</f>
        <v/>
      </c>
      <c r="O13" s="216">
        <f>IF(O6=0,0,O12/O6)</f>
        <v/>
      </c>
      <c r="P13" s="216">
        <f>IF(P6=0,0,P12/P6)</f>
        <v/>
      </c>
      <c r="Q13" s="216">
        <f>IF(Q6=0,0,Q12/Q6)</f>
        <v/>
      </c>
      <c r="R13" s="216">
        <f>IF(R6=0,0,R12/R6)</f>
        <v/>
      </c>
      <c r="S13" s="216">
        <f>IF(S6=0,0,S12/S6)</f>
        <v/>
      </c>
      <c r="T13" s="216">
        <f>IF(T6=0,0,T12/T6)</f>
        <v/>
      </c>
      <c r="U13" s="216">
        <f>IF(U6=0,0,U12/U6)</f>
        <v/>
      </c>
      <c r="V13" s="216">
        <f>IF(V6=0,0,V12/V6)</f>
        <v/>
      </c>
      <c r="W13" s="216">
        <f>IF(W6=0,0,W12/W6)</f>
        <v/>
      </c>
      <c r="X13" s="216">
        <f>IF(X6=0,0,X12/X6)</f>
        <v/>
      </c>
      <c r="Y13" s="216">
        <f>IF(Y6=0,0,Y12/Y6)</f>
        <v/>
      </c>
      <c r="Z13" s="216">
        <f>IF(Z6=0,0,Z12/Z6)</f>
        <v/>
      </c>
      <c r="AA13" s="216">
        <f>IF(AA6=0,0,AA12/AA6)</f>
        <v/>
      </c>
      <c r="AB13" s="216">
        <f>IF(AB6=0,0,AB12/AB6)</f>
        <v/>
      </c>
      <c r="AC13" s="216">
        <f>IF(AC6=0,0,AC12/AC6)</f>
        <v/>
      </c>
      <c r="AD13" s="216">
        <f>IF(AD6=0,0,AD12/AD6)</f>
        <v/>
      </c>
      <c r="AE13" s="216">
        <f>IF(AE6=0,0,AE12/AE6)</f>
        <v/>
      </c>
      <c r="AF13" s="216">
        <f>IF(AF6=0,0,AF12/AF6)</f>
        <v/>
      </c>
      <c r="AG13" s="216">
        <f>IF(AG6=0,0,AG12/AG6)</f>
        <v/>
      </c>
      <c r="AH13" s="216">
        <f>IF(AH6=0,0,AH12/AH6)</f>
        <v/>
      </c>
      <c r="AI13" s="216">
        <f>IF(AI6=0,0,AI12/AI6)</f>
        <v/>
      </c>
      <c r="AJ13" s="216">
        <f>IF(AJ6=0,0,AJ12/AJ6)</f>
        <v/>
      </c>
      <c r="AK13" s="216">
        <f>IF(AK6=0,0,AK12/AK6)</f>
        <v/>
      </c>
      <c r="AL13" s="216">
        <f>IF(AL6=0,0,AL12/AL6)</f>
        <v/>
      </c>
      <c r="AM13" s="216">
        <f>IF(AM6=0,0,AM12/AM6)</f>
        <v/>
      </c>
      <c r="AN13" s="216">
        <f>IF(AN6=0,0,AN12/AN6)</f>
        <v/>
      </c>
      <c r="AO13" s="216">
        <f>IF(AO6=0,0,AO12/AO6)</f>
        <v/>
      </c>
      <c r="AP13" s="216">
        <f>IF(AP6=0,0,AP12/AP6)</f>
        <v/>
      </c>
      <c r="AQ13" s="216">
        <f>IF(AQ6=0,0,AQ12/AQ6)</f>
        <v/>
      </c>
      <c r="AR13" s="216">
        <f>IF(AR6=0,0,AR12/AR6)</f>
        <v/>
      </c>
      <c r="AS13" s="216">
        <f>IF(AS6=0,0,AS12/AS6)</f>
        <v/>
      </c>
      <c r="AT13" s="216">
        <f>IF(AT6=0,0,AT12/AT6)</f>
        <v/>
      </c>
      <c r="AU13" s="216">
        <f>IF(AU6=0,0,AU12/AU6)</f>
        <v/>
      </c>
      <c r="AV13" s="216">
        <f>IF(AV6=0,0,AV12/AV6)</f>
        <v/>
      </c>
      <c r="AW13" s="216">
        <f>IF(AW6=0,0,AW12/AW6)</f>
        <v/>
      </c>
      <c r="AX13" s="216">
        <f>IF(AX6=0,0,AX12/AX6)</f>
        <v/>
      </c>
      <c r="AY13" s="216">
        <f>IF(AY6=0,0,AY12/AY6)</f>
        <v/>
      </c>
      <c r="AZ13" s="216">
        <f>IF(AZ6=0,0,AZ12/AZ6)</f>
        <v/>
      </c>
      <c r="BA13" s="216">
        <f>IF(BA6=0,0,BA12/BA6)</f>
        <v/>
      </c>
      <c r="BB13" s="216">
        <f>IF(BB6=0,0,BB12/BB6)</f>
        <v/>
      </c>
      <c r="BC13" s="216">
        <f>IF(BC6=0,0,BC12/BC6)</f>
        <v/>
      </c>
      <c r="BD13" s="216">
        <f>IF(BD6=0,0,BD12/BD6)</f>
        <v/>
      </c>
      <c r="BE13" s="216">
        <f>IF(BE6=0,0,BE12/BE6)</f>
        <v/>
      </c>
      <c r="BF13" s="216">
        <f>IF(BF6=0,0,BF12/BF6)</f>
        <v/>
      </c>
      <c r="BG13" s="216">
        <f>IF(BG6=0,0,BG12/BG6)</f>
        <v/>
      </c>
      <c r="BH13" s="216">
        <f>IF(BH6=0,0,BH12/BH6)</f>
        <v/>
      </c>
      <c r="BI13" s="216">
        <f>IF(BI6=0,0,BI12/BI6)</f>
        <v/>
      </c>
      <c r="BJ13" s="216">
        <f>IF(BJ6=0,0,BJ12/BJ6)</f>
        <v/>
      </c>
      <c r="BL13" s="217">
        <f>IF((C6+D6+E6+F6+G6+H6+I6+J6+K6+L6+M6+N6)=0,0,(C12+D12+E12+F12+G12+H12+I12+J12+K12+L12+M12+N12)/(C6+D6+E6+F6+G6+H6+I6+J6+K6+L6+M6+N6))</f>
        <v/>
      </c>
      <c r="BM13" s="217">
        <f>IF((O6+P6+Q6+R6+S6+T6+U6+V6+W6+X6+Y6+Z6)=0,0,(O12+P12+Q12+R12+S12+T12+U12+V12+W12+X12+Y12+Z12)/(O6+P6+Q6+R6+S6+T6+U6+V6+W6+X6+Y6+Z6))</f>
        <v/>
      </c>
      <c r="BN13" s="217">
        <f>IF((AA6+AB6+AC6+AD6+AE6+AF6+AG6+AH6+AI6+AJ6+AK6+AL6)=0,0,(AA12+AB12+AC12+AD12+AE12+AF12+AG12+AH12+AI12+AJ12+AK12+AL12)/(AA6+AB6+AC6+AD6+AE6+AF6+AG6+AH6+AI6+AJ6+AK6+AL6))</f>
        <v/>
      </c>
      <c r="BO13" s="217">
        <f>IF((AM6+AN6+AO6+AP6+AQ6+AR6+AS6+AT6+AU6+AV6+AW6+AX6)=0,0,(AM12+AN12+AO12+AP12+AQ12+AR12+AS12+AT12+AU12+AV12+AW12+AX12)/(AM6+AN6+AO6+AP6+AQ6+AR6+AS6+AT6+AU6+AV6+AW6+AX6))</f>
        <v/>
      </c>
      <c r="BP13" s="217">
        <f>IF((AY6+AZ6+BA6+BB6+BC6+BD6+BE6+BF6+BG6+BH6+BI6+BJ6)=0,0,(AY12+AZ12+BA12+BB12+BC12+BD12+BE12+BF12+BG12+BH12+BI12+BJ12)/(AY6+AZ6+BA6+BB6+BC6+BD6+BE6+BF6+BG6+BH6+BI6+BJ6))</f>
        <v/>
      </c>
    </row>
    <row r="14" ht="15" customHeight="1" s="104">
      <c r="A14" s="107" t="inlineStr">
        <is>
          <t>Technology &amp; Software</t>
        </is>
      </c>
      <c r="C14" s="156">
        <f>C6*(Assumptions!B30+Assumptions!B31*0)</f>
        <v/>
      </c>
      <c r="D14" s="156">
        <f>D6*(Assumptions!B30+Assumptions!B31*0)</f>
        <v/>
      </c>
      <c r="E14" s="156">
        <f>E6*(Assumptions!B30+Assumptions!B31*0)</f>
        <v/>
      </c>
      <c r="F14" s="156">
        <f>F6*(Assumptions!B30+Assumptions!B31*0)</f>
        <v/>
      </c>
      <c r="G14" s="156">
        <f>G6*(Assumptions!B30+Assumptions!B31*0)</f>
        <v/>
      </c>
      <c r="H14" s="156">
        <f>H6*(Assumptions!B30+Assumptions!B31*0)</f>
        <v/>
      </c>
      <c r="I14" s="156">
        <f>I6*(Assumptions!B30+Assumptions!B31*0)</f>
        <v/>
      </c>
      <c r="J14" s="156">
        <f>J6*(Assumptions!B30+Assumptions!B31*0)</f>
        <v/>
      </c>
      <c r="K14" s="156">
        <f>K6*(Assumptions!B30+Assumptions!B31*0)</f>
        <v/>
      </c>
      <c r="L14" s="156">
        <f>L6*(Assumptions!B30+Assumptions!B31*0)</f>
        <v/>
      </c>
      <c r="M14" s="156">
        <f>M6*(Assumptions!B30+Assumptions!B31*0)</f>
        <v/>
      </c>
      <c r="N14" s="156">
        <f>N6*(Assumptions!B30+Assumptions!B31*0)</f>
        <v/>
      </c>
      <c r="O14" s="156">
        <f>O6*(Assumptions!B30+Assumptions!B31*1)</f>
        <v/>
      </c>
      <c r="P14" s="156">
        <f>P6*(Assumptions!B30+Assumptions!B31*1)</f>
        <v/>
      </c>
      <c r="Q14" s="156">
        <f>Q6*(Assumptions!B30+Assumptions!B31*1)</f>
        <v/>
      </c>
      <c r="R14" s="156">
        <f>R6*(Assumptions!B30+Assumptions!B31*1)</f>
        <v/>
      </c>
      <c r="S14" s="156">
        <f>S6*(Assumptions!B30+Assumptions!B31*1)</f>
        <v/>
      </c>
      <c r="T14" s="156">
        <f>T6*(Assumptions!B30+Assumptions!B31*1)</f>
        <v/>
      </c>
      <c r="U14" s="156">
        <f>U6*(Assumptions!B30+Assumptions!B31*1)</f>
        <v/>
      </c>
      <c r="V14" s="156">
        <f>V6*(Assumptions!B30+Assumptions!B31*1)</f>
        <v/>
      </c>
      <c r="W14" s="156">
        <f>W6*(Assumptions!B30+Assumptions!B31*1)</f>
        <v/>
      </c>
      <c r="X14" s="156">
        <f>X6*(Assumptions!B30+Assumptions!B31*1)</f>
        <v/>
      </c>
      <c r="Y14" s="156">
        <f>Y6*(Assumptions!B30+Assumptions!B31*1)</f>
        <v/>
      </c>
      <c r="Z14" s="156">
        <f>Z6*(Assumptions!B30+Assumptions!B31*1)</f>
        <v/>
      </c>
      <c r="AA14" s="156">
        <f>AA6*(Assumptions!B30+Assumptions!B31*2)</f>
        <v/>
      </c>
      <c r="AB14" s="156">
        <f>AB6*(Assumptions!B30+Assumptions!B31*2)</f>
        <v/>
      </c>
      <c r="AC14" s="156">
        <f>AC6*(Assumptions!B30+Assumptions!B31*2)</f>
        <v/>
      </c>
      <c r="AD14" s="156">
        <f>AD6*(Assumptions!B30+Assumptions!B31*2)</f>
        <v/>
      </c>
      <c r="AE14" s="156">
        <f>AE6*(Assumptions!B30+Assumptions!B31*2)</f>
        <v/>
      </c>
      <c r="AF14" s="156">
        <f>AF6*(Assumptions!B30+Assumptions!B31*2)</f>
        <v/>
      </c>
      <c r="AG14" s="156">
        <f>AG6*(Assumptions!B30+Assumptions!B31*2)</f>
        <v/>
      </c>
      <c r="AH14" s="156">
        <f>AH6*(Assumptions!B30+Assumptions!B31*2)</f>
        <v/>
      </c>
      <c r="AI14" s="156">
        <f>AI6*(Assumptions!B30+Assumptions!B31*2)</f>
        <v/>
      </c>
      <c r="AJ14" s="156">
        <f>AJ6*(Assumptions!B30+Assumptions!B31*2)</f>
        <v/>
      </c>
      <c r="AK14" s="156">
        <f>AK6*(Assumptions!B30+Assumptions!B31*2)</f>
        <v/>
      </c>
      <c r="AL14" s="156">
        <f>AL6*(Assumptions!B30+Assumptions!B31*2)</f>
        <v/>
      </c>
      <c r="AM14" s="156">
        <f>AM6*(Assumptions!B30+Assumptions!B31*3)</f>
        <v/>
      </c>
      <c r="AN14" s="156">
        <f>AN6*(Assumptions!B30+Assumptions!B31*3)</f>
        <v/>
      </c>
      <c r="AO14" s="156">
        <f>AO6*(Assumptions!B30+Assumptions!B31*3)</f>
        <v/>
      </c>
      <c r="AP14" s="156">
        <f>AP6*(Assumptions!B30+Assumptions!B31*3)</f>
        <v/>
      </c>
      <c r="AQ14" s="156">
        <f>AQ6*(Assumptions!B30+Assumptions!B31*3)</f>
        <v/>
      </c>
      <c r="AR14" s="156">
        <f>AR6*(Assumptions!B30+Assumptions!B31*3)</f>
        <v/>
      </c>
      <c r="AS14" s="156">
        <f>AS6*(Assumptions!B30+Assumptions!B31*3)</f>
        <v/>
      </c>
      <c r="AT14" s="156">
        <f>AT6*(Assumptions!B30+Assumptions!B31*3)</f>
        <v/>
      </c>
      <c r="AU14" s="156">
        <f>AU6*(Assumptions!B30+Assumptions!B31*3)</f>
        <v/>
      </c>
      <c r="AV14" s="156">
        <f>AV6*(Assumptions!B30+Assumptions!B31*3)</f>
        <v/>
      </c>
      <c r="AW14" s="156">
        <f>AW6*(Assumptions!B30+Assumptions!B31*3)</f>
        <v/>
      </c>
      <c r="AX14" s="156">
        <f>AX6*(Assumptions!B30+Assumptions!B31*3)</f>
        <v/>
      </c>
      <c r="AY14" s="156">
        <f>AY6*(Assumptions!B30+Assumptions!B31*4)</f>
        <v/>
      </c>
      <c r="AZ14" s="156">
        <f>AZ6*(Assumptions!B30+Assumptions!B31*4)</f>
        <v/>
      </c>
      <c r="BA14" s="156">
        <f>BA6*(Assumptions!B30+Assumptions!B31*4)</f>
        <v/>
      </c>
      <c r="BB14" s="156">
        <f>BB6*(Assumptions!B30+Assumptions!B31*4)</f>
        <v/>
      </c>
      <c r="BC14" s="156">
        <f>BC6*(Assumptions!B30+Assumptions!B31*4)</f>
        <v/>
      </c>
      <c r="BD14" s="156">
        <f>BD6*(Assumptions!B30+Assumptions!B31*4)</f>
        <v/>
      </c>
      <c r="BE14" s="156">
        <f>BE6*(Assumptions!B30+Assumptions!B31*4)</f>
        <v/>
      </c>
      <c r="BF14" s="156">
        <f>BF6*(Assumptions!B30+Assumptions!B31*4)</f>
        <v/>
      </c>
      <c r="BG14" s="156">
        <f>BG6*(Assumptions!B30+Assumptions!B31*4)</f>
        <v/>
      </c>
      <c r="BH14" s="156">
        <f>BH6*(Assumptions!B30+Assumptions!B31*4)</f>
        <v/>
      </c>
      <c r="BI14" s="156">
        <f>BI6*(Assumptions!B30+Assumptions!B31*4)</f>
        <v/>
      </c>
      <c r="BJ14" s="156">
        <f>BJ6*(Assumptions!B30+Assumptions!B31*4)</f>
        <v/>
      </c>
      <c r="BL14" s="157">
        <f>C14+D14+E14+F14+G14+H14+I14+J14+K14+L14+M14+N14</f>
        <v/>
      </c>
      <c r="BM14" s="157">
        <f>O14+P14+Q14+R14+S14+T14+U14+V14+W14+X14+Y14+Z14</f>
        <v/>
      </c>
      <c r="BN14" s="157">
        <f>AA14+AB14+AC14+AD14+AE14+AF14+AG14+AH14+AI14+AJ14+AK14+AL14</f>
        <v/>
      </c>
      <c r="BO14" s="157">
        <f>AM14+AN14+AO14+AP14+AQ14+AR14+AS14+AT14+AU14+AV14+AW14+AX14</f>
        <v/>
      </c>
      <c r="BP14" s="157">
        <f>AY14+AZ14+BA14+BB14+BC14+BD14+BE14+BF14+BG14+BH14+BI14+BJ14</f>
        <v/>
      </c>
    </row>
    <row r="15" ht="15" customHeight="1" s="104">
      <c r="A15" s="215" t="inlineStr">
        <is>
          <t xml:space="preserve">    % of Revenue</t>
        </is>
      </c>
      <c r="C15" s="216">
        <f>IF(C6=0,0,C14/C6)</f>
        <v/>
      </c>
      <c r="D15" s="216">
        <f>IF(D6=0,0,D14/D6)</f>
        <v/>
      </c>
      <c r="E15" s="216">
        <f>IF(E6=0,0,E14/E6)</f>
        <v/>
      </c>
      <c r="F15" s="216">
        <f>IF(F6=0,0,F14/F6)</f>
        <v/>
      </c>
      <c r="G15" s="216">
        <f>IF(G6=0,0,G14/G6)</f>
        <v/>
      </c>
      <c r="H15" s="216">
        <f>IF(H6=0,0,H14/H6)</f>
        <v/>
      </c>
      <c r="I15" s="216">
        <f>IF(I6=0,0,I14/I6)</f>
        <v/>
      </c>
      <c r="J15" s="216">
        <f>IF(J6=0,0,J14/J6)</f>
        <v/>
      </c>
      <c r="K15" s="216">
        <f>IF(K6=0,0,K14/K6)</f>
        <v/>
      </c>
      <c r="L15" s="216">
        <f>IF(L6=0,0,L14/L6)</f>
        <v/>
      </c>
      <c r="M15" s="216">
        <f>IF(M6=0,0,M14/M6)</f>
        <v/>
      </c>
      <c r="N15" s="216">
        <f>IF(N6=0,0,N14/N6)</f>
        <v/>
      </c>
      <c r="O15" s="216">
        <f>IF(O6=0,0,O14/O6)</f>
        <v/>
      </c>
      <c r="P15" s="216">
        <f>IF(P6=0,0,P14/P6)</f>
        <v/>
      </c>
      <c r="Q15" s="216">
        <f>IF(Q6=0,0,Q14/Q6)</f>
        <v/>
      </c>
      <c r="R15" s="216">
        <f>IF(R6=0,0,R14/R6)</f>
        <v/>
      </c>
      <c r="S15" s="216">
        <f>IF(S6=0,0,S14/S6)</f>
        <v/>
      </c>
      <c r="T15" s="216">
        <f>IF(T6=0,0,T14/T6)</f>
        <v/>
      </c>
      <c r="U15" s="216">
        <f>IF(U6=0,0,U14/U6)</f>
        <v/>
      </c>
      <c r="V15" s="216">
        <f>IF(V6=0,0,V14/V6)</f>
        <v/>
      </c>
      <c r="W15" s="216">
        <f>IF(W6=0,0,W14/W6)</f>
        <v/>
      </c>
      <c r="X15" s="216">
        <f>IF(X6=0,0,X14/X6)</f>
        <v/>
      </c>
      <c r="Y15" s="216">
        <f>IF(Y6=0,0,Y14/Y6)</f>
        <v/>
      </c>
      <c r="Z15" s="216">
        <f>IF(Z6=0,0,Z14/Z6)</f>
        <v/>
      </c>
      <c r="AA15" s="216">
        <f>IF(AA6=0,0,AA14/AA6)</f>
        <v/>
      </c>
      <c r="AB15" s="216">
        <f>IF(AB6=0,0,AB14/AB6)</f>
        <v/>
      </c>
      <c r="AC15" s="216">
        <f>IF(AC6=0,0,AC14/AC6)</f>
        <v/>
      </c>
      <c r="AD15" s="216">
        <f>IF(AD6=0,0,AD14/AD6)</f>
        <v/>
      </c>
      <c r="AE15" s="216">
        <f>IF(AE6=0,0,AE14/AE6)</f>
        <v/>
      </c>
      <c r="AF15" s="216">
        <f>IF(AF6=0,0,AF14/AF6)</f>
        <v/>
      </c>
      <c r="AG15" s="216">
        <f>IF(AG6=0,0,AG14/AG6)</f>
        <v/>
      </c>
      <c r="AH15" s="216">
        <f>IF(AH6=0,0,AH14/AH6)</f>
        <v/>
      </c>
      <c r="AI15" s="216">
        <f>IF(AI6=0,0,AI14/AI6)</f>
        <v/>
      </c>
      <c r="AJ15" s="216">
        <f>IF(AJ6=0,0,AJ14/AJ6)</f>
        <v/>
      </c>
      <c r="AK15" s="216">
        <f>IF(AK6=0,0,AK14/AK6)</f>
        <v/>
      </c>
      <c r="AL15" s="216">
        <f>IF(AL6=0,0,AL14/AL6)</f>
        <v/>
      </c>
      <c r="AM15" s="216">
        <f>IF(AM6=0,0,AM14/AM6)</f>
        <v/>
      </c>
      <c r="AN15" s="216">
        <f>IF(AN6=0,0,AN14/AN6)</f>
        <v/>
      </c>
      <c r="AO15" s="216">
        <f>IF(AO6=0,0,AO14/AO6)</f>
        <v/>
      </c>
      <c r="AP15" s="216">
        <f>IF(AP6=0,0,AP14/AP6)</f>
        <v/>
      </c>
      <c r="AQ15" s="216">
        <f>IF(AQ6=0,0,AQ14/AQ6)</f>
        <v/>
      </c>
      <c r="AR15" s="216">
        <f>IF(AR6=0,0,AR14/AR6)</f>
        <v/>
      </c>
      <c r="AS15" s="216">
        <f>IF(AS6=0,0,AS14/AS6)</f>
        <v/>
      </c>
      <c r="AT15" s="216">
        <f>IF(AT6=0,0,AT14/AT6)</f>
        <v/>
      </c>
      <c r="AU15" s="216">
        <f>IF(AU6=0,0,AU14/AU6)</f>
        <v/>
      </c>
      <c r="AV15" s="216">
        <f>IF(AV6=0,0,AV14/AV6)</f>
        <v/>
      </c>
      <c r="AW15" s="216">
        <f>IF(AW6=0,0,AW14/AW6)</f>
        <v/>
      </c>
      <c r="AX15" s="216">
        <f>IF(AX6=0,0,AX14/AX6)</f>
        <v/>
      </c>
      <c r="AY15" s="216">
        <f>IF(AY6=0,0,AY14/AY6)</f>
        <v/>
      </c>
      <c r="AZ15" s="216">
        <f>IF(AZ6=0,0,AZ14/AZ6)</f>
        <v/>
      </c>
      <c r="BA15" s="216">
        <f>IF(BA6=0,0,BA14/BA6)</f>
        <v/>
      </c>
      <c r="BB15" s="216">
        <f>IF(BB6=0,0,BB14/BB6)</f>
        <v/>
      </c>
      <c r="BC15" s="216">
        <f>IF(BC6=0,0,BC14/BC6)</f>
        <v/>
      </c>
      <c r="BD15" s="216">
        <f>IF(BD6=0,0,BD14/BD6)</f>
        <v/>
      </c>
      <c r="BE15" s="216">
        <f>IF(BE6=0,0,BE14/BE6)</f>
        <v/>
      </c>
      <c r="BF15" s="216">
        <f>IF(BF6=0,0,BF14/BF6)</f>
        <v/>
      </c>
      <c r="BG15" s="216">
        <f>IF(BG6=0,0,BG14/BG6)</f>
        <v/>
      </c>
      <c r="BH15" s="216">
        <f>IF(BH6=0,0,BH14/BH6)</f>
        <v/>
      </c>
      <c r="BI15" s="216">
        <f>IF(BI6=0,0,BI14/BI6)</f>
        <v/>
      </c>
      <c r="BJ15" s="216">
        <f>IF(BJ6=0,0,BJ14/BJ6)</f>
        <v/>
      </c>
      <c r="BL15" s="217">
        <f>IF((C6+D6+E6+F6+G6+H6+I6+J6+K6+L6+M6+N6)=0,0,(C14+D14+E14+F14+G14+H14+I14+J14+K14+L14+M14+N14)/(C6+D6+E6+F6+G6+H6+I6+J6+K6+L6+M6+N6))</f>
        <v/>
      </c>
      <c r="BM15" s="217">
        <f>IF((O6+P6+Q6+R6+S6+T6+U6+V6+W6+X6+Y6+Z6)=0,0,(O14+P14+Q14+R14+S14+T14+U14+V14+W14+X14+Y14+Z14)/(O6+P6+Q6+R6+S6+T6+U6+V6+W6+X6+Y6+Z6))</f>
        <v/>
      </c>
      <c r="BN15" s="217">
        <f>IF((AA6+AB6+AC6+AD6+AE6+AF6+AG6+AH6+AI6+AJ6+AK6+AL6)=0,0,(AA14+AB14+AC14+AD14+AE14+AF14+AG14+AH14+AI14+AJ14+AK14+AL14)/(AA6+AB6+AC6+AD6+AE6+AF6+AG6+AH6+AI6+AJ6+AK6+AL6))</f>
        <v/>
      </c>
      <c r="BO15" s="217">
        <f>IF((AM6+AN6+AO6+AP6+AQ6+AR6+AS6+AT6+AU6+AV6+AW6+AX6)=0,0,(AM14+AN14+AO14+AP14+AQ14+AR14+AS14+AT14+AU14+AV14+AW14+AX14)/(AM6+AN6+AO6+AP6+AQ6+AR6+AS6+AT6+AU6+AV6+AW6+AX6))</f>
        <v/>
      </c>
      <c r="BP15" s="217">
        <f>IF((AY6+AZ6+BA6+BB6+BC6+BD6+BE6+BF6+BG6+BH6+BI6+BJ6)=0,0,(AY14+AZ14+BA14+BB14+BC14+BD14+BE14+BF14+BG14+BH14+BI14+BJ14)/(AY6+AZ6+BA6+BB6+BC6+BD6+BE6+BF6+BG6+BH6+BI6+BJ6))</f>
        <v/>
      </c>
    </row>
    <row r="16" ht="15" customHeight="1" s="104">
      <c r="A16" s="107" t="inlineStr">
        <is>
          <t>Insurance</t>
        </is>
      </c>
      <c r="C16" s="156">
        <f>C6*(Assumptions!B32+Assumptions!B33*0)</f>
        <v/>
      </c>
      <c r="D16" s="156">
        <f>D6*(Assumptions!B32+Assumptions!B33*0)</f>
        <v/>
      </c>
      <c r="E16" s="156">
        <f>E6*(Assumptions!B32+Assumptions!B33*0)</f>
        <v/>
      </c>
      <c r="F16" s="156">
        <f>F6*(Assumptions!B32+Assumptions!B33*0)</f>
        <v/>
      </c>
      <c r="G16" s="156">
        <f>G6*(Assumptions!B32+Assumptions!B33*0)</f>
        <v/>
      </c>
      <c r="H16" s="156">
        <f>H6*(Assumptions!B32+Assumptions!B33*0)</f>
        <v/>
      </c>
      <c r="I16" s="156">
        <f>I6*(Assumptions!B32+Assumptions!B33*0)</f>
        <v/>
      </c>
      <c r="J16" s="156">
        <f>J6*(Assumptions!B32+Assumptions!B33*0)</f>
        <v/>
      </c>
      <c r="K16" s="156">
        <f>K6*(Assumptions!B32+Assumptions!B33*0)</f>
        <v/>
      </c>
      <c r="L16" s="156">
        <f>L6*(Assumptions!B32+Assumptions!B33*0)</f>
        <v/>
      </c>
      <c r="M16" s="156">
        <f>M6*(Assumptions!B32+Assumptions!B33*0)</f>
        <v/>
      </c>
      <c r="N16" s="156">
        <f>N6*(Assumptions!B32+Assumptions!B33*0)</f>
        <v/>
      </c>
      <c r="O16" s="156">
        <f>O6*(Assumptions!B32+Assumptions!B33*1)</f>
        <v/>
      </c>
      <c r="P16" s="156">
        <f>P6*(Assumptions!B32+Assumptions!B33*1)</f>
        <v/>
      </c>
      <c r="Q16" s="156">
        <f>Q6*(Assumptions!B32+Assumptions!B33*1)</f>
        <v/>
      </c>
      <c r="R16" s="156">
        <f>R6*(Assumptions!B32+Assumptions!B33*1)</f>
        <v/>
      </c>
      <c r="S16" s="156">
        <f>S6*(Assumptions!B32+Assumptions!B33*1)</f>
        <v/>
      </c>
      <c r="T16" s="156">
        <f>T6*(Assumptions!B32+Assumptions!B33*1)</f>
        <v/>
      </c>
      <c r="U16" s="156">
        <f>U6*(Assumptions!B32+Assumptions!B33*1)</f>
        <v/>
      </c>
      <c r="V16" s="156">
        <f>V6*(Assumptions!B32+Assumptions!B33*1)</f>
        <v/>
      </c>
      <c r="W16" s="156">
        <f>W6*(Assumptions!B32+Assumptions!B33*1)</f>
        <v/>
      </c>
      <c r="X16" s="156">
        <f>X6*(Assumptions!B32+Assumptions!B33*1)</f>
        <v/>
      </c>
      <c r="Y16" s="156">
        <f>Y6*(Assumptions!B32+Assumptions!B33*1)</f>
        <v/>
      </c>
      <c r="Z16" s="156">
        <f>Z6*(Assumptions!B32+Assumptions!B33*1)</f>
        <v/>
      </c>
      <c r="AA16" s="156">
        <f>AA6*(Assumptions!B32+Assumptions!B33*2)</f>
        <v/>
      </c>
      <c r="AB16" s="156">
        <f>AB6*(Assumptions!B32+Assumptions!B33*2)</f>
        <v/>
      </c>
      <c r="AC16" s="156">
        <f>AC6*(Assumptions!B32+Assumptions!B33*2)</f>
        <v/>
      </c>
      <c r="AD16" s="156">
        <f>AD6*(Assumptions!B32+Assumptions!B33*2)</f>
        <v/>
      </c>
      <c r="AE16" s="156">
        <f>AE6*(Assumptions!B32+Assumptions!B33*2)</f>
        <v/>
      </c>
      <c r="AF16" s="156">
        <f>AF6*(Assumptions!B32+Assumptions!B33*2)</f>
        <v/>
      </c>
      <c r="AG16" s="156">
        <f>AG6*(Assumptions!B32+Assumptions!B33*2)</f>
        <v/>
      </c>
      <c r="AH16" s="156">
        <f>AH6*(Assumptions!B32+Assumptions!B33*2)</f>
        <v/>
      </c>
      <c r="AI16" s="156">
        <f>AI6*(Assumptions!B32+Assumptions!B33*2)</f>
        <v/>
      </c>
      <c r="AJ16" s="156">
        <f>AJ6*(Assumptions!B32+Assumptions!B33*2)</f>
        <v/>
      </c>
      <c r="AK16" s="156">
        <f>AK6*(Assumptions!B32+Assumptions!B33*2)</f>
        <v/>
      </c>
      <c r="AL16" s="156">
        <f>AL6*(Assumptions!B32+Assumptions!B33*2)</f>
        <v/>
      </c>
      <c r="AM16" s="156">
        <f>AM6*(Assumptions!B32+Assumptions!B33*3)</f>
        <v/>
      </c>
      <c r="AN16" s="156">
        <f>AN6*(Assumptions!B32+Assumptions!B33*3)</f>
        <v/>
      </c>
      <c r="AO16" s="156">
        <f>AO6*(Assumptions!B32+Assumptions!B33*3)</f>
        <v/>
      </c>
      <c r="AP16" s="156">
        <f>AP6*(Assumptions!B32+Assumptions!B33*3)</f>
        <v/>
      </c>
      <c r="AQ16" s="156">
        <f>AQ6*(Assumptions!B32+Assumptions!B33*3)</f>
        <v/>
      </c>
      <c r="AR16" s="156">
        <f>AR6*(Assumptions!B32+Assumptions!B33*3)</f>
        <v/>
      </c>
      <c r="AS16" s="156">
        <f>AS6*(Assumptions!B32+Assumptions!B33*3)</f>
        <v/>
      </c>
      <c r="AT16" s="156">
        <f>AT6*(Assumptions!B32+Assumptions!B33*3)</f>
        <v/>
      </c>
      <c r="AU16" s="156">
        <f>AU6*(Assumptions!B32+Assumptions!B33*3)</f>
        <v/>
      </c>
      <c r="AV16" s="156">
        <f>AV6*(Assumptions!B32+Assumptions!B33*3)</f>
        <v/>
      </c>
      <c r="AW16" s="156">
        <f>AW6*(Assumptions!B32+Assumptions!B33*3)</f>
        <v/>
      </c>
      <c r="AX16" s="156">
        <f>AX6*(Assumptions!B32+Assumptions!B33*3)</f>
        <v/>
      </c>
      <c r="AY16" s="156">
        <f>AY6*(Assumptions!B32+Assumptions!B33*4)</f>
        <v/>
      </c>
      <c r="AZ16" s="156">
        <f>AZ6*(Assumptions!B32+Assumptions!B33*4)</f>
        <v/>
      </c>
      <c r="BA16" s="156">
        <f>BA6*(Assumptions!B32+Assumptions!B33*4)</f>
        <v/>
      </c>
      <c r="BB16" s="156">
        <f>BB6*(Assumptions!B32+Assumptions!B33*4)</f>
        <v/>
      </c>
      <c r="BC16" s="156">
        <f>BC6*(Assumptions!B32+Assumptions!B33*4)</f>
        <v/>
      </c>
      <c r="BD16" s="156">
        <f>BD6*(Assumptions!B32+Assumptions!B33*4)</f>
        <v/>
      </c>
      <c r="BE16" s="156">
        <f>BE6*(Assumptions!B32+Assumptions!B33*4)</f>
        <v/>
      </c>
      <c r="BF16" s="156">
        <f>BF6*(Assumptions!B32+Assumptions!B33*4)</f>
        <v/>
      </c>
      <c r="BG16" s="156">
        <f>BG6*(Assumptions!B32+Assumptions!B33*4)</f>
        <v/>
      </c>
      <c r="BH16" s="156">
        <f>BH6*(Assumptions!B32+Assumptions!B33*4)</f>
        <v/>
      </c>
      <c r="BI16" s="156">
        <f>BI6*(Assumptions!B32+Assumptions!B33*4)</f>
        <v/>
      </c>
      <c r="BJ16" s="156">
        <f>BJ6*(Assumptions!B32+Assumptions!B33*4)</f>
        <v/>
      </c>
      <c r="BL16" s="157">
        <f>C16+D16+E16+F16+G16+H16+I16+J16+K16+L16+M16+N16</f>
        <v/>
      </c>
      <c r="BM16" s="157">
        <f>O16+P16+Q16+R16+S16+T16+U16+V16+W16+X16+Y16+Z16</f>
        <v/>
      </c>
      <c r="BN16" s="157">
        <f>AA16+AB16+AC16+AD16+AE16+AF16+AG16+AH16+AI16+AJ16+AK16+AL16</f>
        <v/>
      </c>
      <c r="BO16" s="157">
        <f>AM16+AN16+AO16+AP16+AQ16+AR16+AS16+AT16+AU16+AV16+AW16+AX16</f>
        <v/>
      </c>
      <c r="BP16" s="157">
        <f>AY16+AZ16+BA16+BB16+BC16+BD16+BE16+BF16+BG16+BH16+BI16+BJ16</f>
        <v/>
      </c>
    </row>
    <row r="17" ht="15" customHeight="1" s="104">
      <c r="A17" s="215" t="inlineStr">
        <is>
          <t xml:space="preserve">    % of Revenue</t>
        </is>
      </c>
      <c r="C17" s="216">
        <f>IF(C6=0,0,C16/C6)</f>
        <v/>
      </c>
      <c r="D17" s="216">
        <f>IF(D6=0,0,D16/D6)</f>
        <v/>
      </c>
      <c r="E17" s="216">
        <f>IF(E6=0,0,E16/E6)</f>
        <v/>
      </c>
      <c r="F17" s="216">
        <f>IF(F6=0,0,F16/F6)</f>
        <v/>
      </c>
      <c r="G17" s="216">
        <f>IF(G6=0,0,G16/G6)</f>
        <v/>
      </c>
      <c r="H17" s="216">
        <f>IF(H6=0,0,H16/H6)</f>
        <v/>
      </c>
      <c r="I17" s="216">
        <f>IF(I6=0,0,I16/I6)</f>
        <v/>
      </c>
      <c r="J17" s="216">
        <f>IF(J6=0,0,J16/J6)</f>
        <v/>
      </c>
      <c r="K17" s="216">
        <f>IF(K6=0,0,K16/K6)</f>
        <v/>
      </c>
      <c r="L17" s="216">
        <f>IF(L6=0,0,L16/L6)</f>
        <v/>
      </c>
      <c r="M17" s="216">
        <f>IF(M6=0,0,M16/M6)</f>
        <v/>
      </c>
      <c r="N17" s="216">
        <f>IF(N6=0,0,N16/N6)</f>
        <v/>
      </c>
      <c r="O17" s="216">
        <f>IF(O6=0,0,O16/O6)</f>
        <v/>
      </c>
      <c r="P17" s="216">
        <f>IF(P6=0,0,P16/P6)</f>
        <v/>
      </c>
      <c r="Q17" s="216">
        <f>IF(Q6=0,0,Q16/Q6)</f>
        <v/>
      </c>
      <c r="R17" s="216">
        <f>IF(R6=0,0,R16/R6)</f>
        <v/>
      </c>
      <c r="S17" s="216">
        <f>IF(S6=0,0,S16/S6)</f>
        <v/>
      </c>
      <c r="T17" s="216">
        <f>IF(T6=0,0,T16/T6)</f>
        <v/>
      </c>
      <c r="U17" s="216">
        <f>IF(U6=0,0,U16/U6)</f>
        <v/>
      </c>
      <c r="V17" s="216">
        <f>IF(V6=0,0,V16/V6)</f>
        <v/>
      </c>
      <c r="W17" s="216">
        <f>IF(W6=0,0,W16/W6)</f>
        <v/>
      </c>
      <c r="X17" s="216">
        <f>IF(X6=0,0,X16/X6)</f>
        <v/>
      </c>
      <c r="Y17" s="216">
        <f>IF(Y6=0,0,Y16/Y6)</f>
        <v/>
      </c>
      <c r="Z17" s="216">
        <f>IF(Z6=0,0,Z16/Z6)</f>
        <v/>
      </c>
      <c r="AA17" s="216">
        <f>IF(AA6=0,0,AA16/AA6)</f>
        <v/>
      </c>
      <c r="AB17" s="216">
        <f>IF(AB6=0,0,AB16/AB6)</f>
        <v/>
      </c>
      <c r="AC17" s="216">
        <f>IF(AC6=0,0,AC16/AC6)</f>
        <v/>
      </c>
      <c r="AD17" s="216">
        <f>IF(AD6=0,0,AD16/AD6)</f>
        <v/>
      </c>
      <c r="AE17" s="216">
        <f>IF(AE6=0,0,AE16/AE6)</f>
        <v/>
      </c>
      <c r="AF17" s="216">
        <f>IF(AF6=0,0,AF16/AF6)</f>
        <v/>
      </c>
      <c r="AG17" s="216">
        <f>IF(AG6=0,0,AG16/AG6)</f>
        <v/>
      </c>
      <c r="AH17" s="216">
        <f>IF(AH6=0,0,AH16/AH6)</f>
        <v/>
      </c>
      <c r="AI17" s="216">
        <f>IF(AI6=0,0,AI16/AI6)</f>
        <v/>
      </c>
      <c r="AJ17" s="216">
        <f>IF(AJ6=0,0,AJ16/AJ6)</f>
        <v/>
      </c>
      <c r="AK17" s="216">
        <f>IF(AK6=0,0,AK16/AK6)</f>
        <v/>
      </c>
      <c r="AL17" s="216">
        <f>IF(AL6=0,0,AL16/AL6)</f>
        <v/>
      </c>
      <c r="AM17" s="216">
        <f>IF(AM6=0,0,AM16/AM6)</f>
        <v/>
      </c>
      <c r="AN17" s="216">
        <f>IF(AN6=0,0,AN16/AN6)</f>
        <v/>
      </c>
      <c r="AO17" s="216">
        <f>IF(AO6=0,0,AO16/AO6)</f>
        <v/>
      </c>
      <c r="AP17" s="216">
        <f>IF(AP6=0,0,AP16/AP6)</f>
        <v/>
      </c>
      <c r="AQ17" s="216">
        <f>IF(AQ6=0,0,AQ16/AQ6)</f>
        <v/>
      </c>
      <c r="AR17" s="216">
        <f>IF(AR6=0,0,AR16/AR6)</f>
        <v/>
      </c>
      <c r="AS17" s="216">
        <f>IF(AS6=0,0,AS16/AS6)</f>
        <v/>
      </c>
      <c r="AT17" s="216">
        <f>IF(AT6=0,0,AT16/AT6)</f>
        <v/>
      </c>
      <c r="AU17" s="216">
        <f>IF(AU6=0,0,AU16/AU6)</f>
        <v/>
      </c>
      <c r="AV17" s="216">
        <f>IF(AV6=0,0,AV16/AV6)</f>
        <v/>
      </c>
      <c r="AW17" s="216">
        <f>IF(AW6=0,0,AW16/AW6)</f>
        <v/>
      </c>
      <c r="AX17" s="216">
        <f>IF(AX6=0,0,AX16/AX6)</f>
        <v/>
      </c>
      <c r="AY17" s="216">
        <f>IF(AY6=0,0,AY16/AY6)</f>
        <v/>
      </c>
      <c r="AZ17" s="216">
        <f>IF(AZ6=0,0,AZ16/AZ6)</f>
        <v/>
      </c>
      <c r="BA17" s="216">
        <f>IF(BA6=0,0,BA16/BA6)</f>
        <v/>
      </c>
      <c r="BB17" s="216">
        <f>IF(BB6=0,0,BB16/BB6)</f>
        <v/>
      </c>
      <c r="BC17" s="216">
        <f>IF(BC6=0,0,BC16/BC6)</f>
        <v/>
      </c>
      <c r="BD17" s="216">
        <f>IF(BD6=0,0,BD16/BD6)</f>
        <v/>
      </c>
      <c r="BE17" s="216">
        <f>IF(BE6=0,0,BE16/BE6)</f>
        <v/>
      </c>
      <c r="BF17" s="216">
        <f>IF(BF6=0,0,BF16/BF6)</f>
        <v/>
      </c>
      <c r="BG17" s="216">
        <f>IF(BG6=0,0,BG16/BG6)</f>
        <v/>
      </c>
      <c r="BH17" s="216">
        <f>IF(BH6=0,0,BH16/BH6)</f>
        <v/>
      </c>
      <c r="BI17" s="216">
        <f>IF(BI6=0,0,BI16/BI6)</f>
        <v/>
      </c>
      <c r="BJ17" s="216">
        <f>IF(BJ6=0,0,BJ16/BJ6)</f>
        <v/>
      </c>
      <c r="BL17" s="217">
        <f>IF((C6+D6+E6+F6+G6+H6+I6+J6+K6+L6+M6+N6)=0,0,(C16+D16+E16+F16+G16+H16+I16+J16+K16+L16+M16+N16)/(C6+D6+E6+F6+G6+H6+I6+J6+K6+L6+M6+N6))</f>
        <v/>
      </c>
      <c r="BM17" s="217">
        <f>IF((O6+P6+Q6+R6+S6+T6+U6+V6+W6+X6+Y6+Z6)=0,0,(O16+P16+Q16+R16+S16+T16+U16+V16+W16+X16+Y16+Z16)/(O6+P6+Q6+R6+S6+T6+U6+V6+W6+X6+Y6+Z6))</f>
        <v/>
      </c>
      <c r="BN17" s="217">
        <f>IF((AA6+AB6+AC6+AD6+AE6+AF6+AG6+AH6+AI6+AJ6+AK6+AL6)=0,0,(AA16+AB16+AC16+AD16+AE16+AF16+AG16+AH16+AI16+AJ16+AK16+AL16)/(AA6+AB6+AC6+AD6+AE6+AF6+AG6+AH6+AI6+AJ6+AK6+AL6))</f>
        <v/>
      </c>
      <c r="BO17" s="217">
        <f>IF((AM6+AN6+AO6+AP6+AQ6+AR6+AS6+AT6+AU6+AV6+AW6+AX6)=0,0,(AM16+AN16+AO16+AP16+AQ16+AR16+AS16+AT16+AU16+AV16+AW16+AX16)/(AM6+AN6+AO6+AP6+AQ6+AR6+AS6+AT6+AU6+AV6+AW6+AX6))</f>
        <v/>
      </c>
      <c r="BP17" s="217">
        <f>IF((AY6+AZ6+BA6+BB6+BC6+BD6+BE6+BF6+BG6+BH6+BI6+BJ6)=0,0,(AY16+AZ16+BA16+BB16+BC16+BD16+BE16+BF16+BG16+BH16+BI16+BJ16)/(AY6+AZ6+BA6+BB6+BC6+BD6+BE6+BF6+BG6+BH6+BI6+BJ6))</f>
        <v/>
      </c>
    </row>
    <row r="18" ht="15" customHeight="1" s="104">
      <c r="A18" s="107" t="inlineStr">
        <is>
          <t>Other Operating Expenses</t>
        </is>
      </c>
      <c r="C18" s="156">
        <f>C6*(Assumptions!B34+Assumptions!B35*0)</f>
        <v/>
      </c>
      <c r="D18" s="156">
        <f>D6*(Assumptions!B34+Assumptions!B35*0)</f>
        <v/>
      </c>
      <c r="E18" s="156">
        <f>E6*(Assumptions!B34+Assumptions!B35*0)</f>
        <v/>
      </c>
      <c r="F18" s="156">
        <f>F6*(Assumptions!B34+Assumptions!B35*0)</f>
        <v/>
      </c>
      <c r="G18" s="156">
        <f>G6*(Assumptions!B34+Assumptions!B35*0)</f>
        <v/>
      </c>
      <c r="H18" s="156">
        <f>H6*(Assumptions!B34+Assumptions!B35*0)</f>
        <v/>
      </c>
      <c r="I18" s="156">
        <f>I6*(Assumptions!B34+Assumptions!B35*0)</f>
        <v/>
      </c>
      <c r="J18" s="156">
        <f>J6*(Assumptions!B34+Assumptions!B35*0)</f>
        <v/>
      </c>
      <c r="K18" s="156">
        <f>K6*(Assumptions!B34+Assumptions!B35*0)</f>
        <v/>
      </c>
      <c r="L18" s="156">
        <f>L6*(Assumptions!B34+Assumptions!B35*0)</f>
        <v/>
      </c>
      <c r="M18" s="156">
        <f>M6*(Assumptions!B34+Assumptions!B35*0)</f>
        <v/>
      </c>
      <c r="N18" s="156">
        <f>N6*(Assumptions!B34+Assumptions!B35*0)</f>
        <v/>
      </c>
      <c r="O18" s="156">
        <f>O6*(Assumptions!B34+Assumptions!B35*1)</f>
        <v/>
      </c>
      <c r="P18" s="156">
        <f>P6*(Assumptions!B34+Assumptions!B35*1)</f>
        <v/>
      </c>
      <c r="Q18" s="156">
        <f>Q6*(Assumptions!B34+Assumptions!B35*1)</f>
        <v/>
      </c>
      <c r="R18" s="156">
        <f>R6*(Assumptions!B34+Assumptions!B35*1)</f>
        <v/>
      </c>
      <c r="S18" s="156">
        <f>S6*(Assumptions!B34+Assumptions!B35*1)</f>
        <v/>
      </c>
      <c r="T18" s="156">
        <f>T6*(Assumptions!B34+Assumptions!B35*1)</f>
        <v/>
      </c>
      <c r="U18" s="156">
        <f>U6*(Assumptions!B34+Assumptions!B35*1)</f>
        <v/>
      </c>
      <c r="V18" s="156">
        <f>V6*(Assumptions!B34+Assumptions!B35*1)</f>
        <v/>
      </c>
      <c r="W18" s="156">
        <f>W6*(Assumptions!B34+Assumptions!B35*1)</f>
        <v/>
      </c>
      <c r="X18" s="156">
        <f>X6*(Assumptions!B34+Assumptions!B35*1)</f>
        <v/>
      </c>
      <c r="Y18" s="156">
        <f>Y6*(Assumptions!B34+Assumptions!B35*1)</f>
        <v/>
      </c>
      <c r="Z18" s="156">
        <f>Z6*(Assumptions!B34+Assumptions!B35*1)</f>
        <v/>
      </c>
      <c r="AA18" s="156">
        <f>AA6*(Assumptions!B34+Assumptions!B35*2)</f>
        <v/>
      </c>
      <c r="AB18" s="156">
        <f>AB6*(Assumptions!B34+Assumptions!B35*2)</f>
        <v/>
      </c>
      <c r="AC18" s="156">
        <f>AC6*(Assumptions!B34+Assumptions!B35*2)</f>
        <v/>
      </c>
      <c r="AD18" s="156">
        <f>AD6*(Assumptions!B34+Assumptions!B35*2)</f>
        <v/>
      </c>
      <c r="AE18" s="156">
        <f>AE6*(Assumptions!B34+Assumptions!B35*2)</f>
        <v/>
      </c>
      <c r="AF18" s="156">
        <f>AF6*(Assumptions!B34+Assumptions!B35*2)</f>
        <v/>
      </c>
      <c r="AG18" s="156">
        <f>AG6*(Assumptions!B34+Assumptions!B35*2)</f>
        <v/>
      </c>
      <c r="AH18" s="156">
        <f>AH6*(Assumptions!B34+Assumptions!B35*2)</f>
        <v/>
      </c>
      <c r="AI18" s="156">
        <f>AI6*(Assumptions!B34+Assumptions!B35*2)</f>
        <v/>
      </c>
      <c r="AJ18" s="156">
        <f>AJ6*(Assumptions!B34+Assumptions!B35*2)</f>
        <v/>
      </c>
      <c r="AK18" s="156">
        <f>AK6*(Assumptions!B34+Assumptions!B35*2)</f>
        <v/>
      </c>
      <c r="AL18" s="156">
        <f>AL6*(Assumptions!B34+Assumptions!B35*2)</f>
        <v/>
      </c>
      <c r="AM18" s="156">
        <f>AM6*(Assumptions!B34+Assumptions!B35*3)</f>
        <v/>
      </c>
      <c r="AN18" s="156">
        <f>AN6*(Assumptions!B34+Assumptions!B35*3)</f>
        <v/>
      </c>
      <c r="AO18" s="156">
        <f>AO6*(Assumptions!B34+Assumptions!B35*3)</f>
        <v/>
      </c>
      <c r="AP18" s="156">
        <f>AP6*(Assumptions!B34+Assumptions!B35*3)</f>
        <v/>
      </c>
      <c r="AQ18" s="156">
        <f>AQ6*(Assumptions!B34+Assumptions!B35*3)</f>
        <v/>
      </c>
      <c r="AR18" s="156">
        <f>AR6*(Assumptions!B34+Assumptions!B35*3)</f>
        <v/>
      </c>
      <c r="AS18" s="156">
        <f>AS6*(Assumptions!B34+Assumptions!B35*3)</f>
        <v/>
      </c>
      <c r="AT18" s="156">
        <f>AT6*(Assumptions!B34+Assumptions!B35*3)</f>
        <v/>
      </c>
      <c r="AU18" s="156">
        <f>AU6*(Assumptions!B34+Assumptions!B35*3)</f>
        <v/>
      </c>
      <c r="AV18" s="156">
        <f>AV6*(Assumptions!B34+Assumptions!B35*3)</f>
        <v/>
      </c>
      <c r="AW18" s="156">
        <f>AW6*(Assumptions!B34+Assumptions!B35*3)</f>
        <v/>
      </c>
      <c r="AX18" s="156">
        <f>AX6*(Assumptions!B34+Assumptions!B35*3)</f>
        <v/>
      </c>
      <c r="AY18" s="156">
        <f>AY6*(Assumptions!B34+Assumptions!B35*4)</f>
        <v/>
      </c>
      <c r="AZ18" s="156">
        <f>AZ6*(Assumptions!B34+Assumptions!B35*4)</f>
        <v/>
      </c>
      <c r="BA18" s="156">
        <f>BA6*(Assumptions!B34+Assumptions!B35*4)</f>
        <v/>
      </c>
      <c r="BB18" s="156">
        <f>BB6*(Assumptions!B34+Assumptions!B35*4)</f>
        <v/>
      </c>
      <c r="BC18" s="156">
        <f>BC6*(Assumptions!B34+Assumptions!B35*4)</f>
        <v/>
      </c>
      <c r="BD18" s="156">
        <f>BD6*(Assumptions!B34+Assumptions!B35*4)</f>
        <v/>
      </c>
      <c r="BE18" s="156">
        <f>BE6*(Assumptions!B34+Assumptions!B35*4)</f>
        <v/>
      </c>
      <c r="BF18" s="156">
        <f>BF6*(Assumptions!B34+Assumptions!B35*4)</f>
        <v/>
      </c>
      <c r="BG18" s="156">
        <f>BG6*(Assumptions!B34+Assumptions!B35*4)</f>
        <v/>
      </c>
      <c r="BH18" s="156">
        <f>BH6*(Assumptions!B34+Assumptions!B35*4)</f>
        <v/>
      </c>
      <c r="BI18" s="156">
        <f>BI6*(Assumptions!B34+Assumptions!B35*4)</f>
        <v/>
      </c>
      <c r="BJ18" s="156">
        <f>BJ6*(Assumptions!B34+Assumptions!B35*4)</f>
        <v/>
      </c>
      <c r="BL18" s="157">
        <f>C18+D18+E18+F18+G18+H18+I18+J18+K18+L18+M18+N18</f>
        <v/>
      </c>
      <c r="BM18" s="157">
        <f>O18+P18+Q18+R18+S18+T18+U18+V18+W18+X18+Y18+Z18</f>
        <v/>
      </c>
      <c r="BN18" s="157">
        <f>AA18+AB18+AC18+AD18+AE18+AF18+AG18+AH18+AI18+AJ18+AK18+AL18</f>
        <v/>
      </c>
      <c r="BO18" s="157">
        <f>AM18+AN18+AO18+AP18+AQ18+AR18+AS18+AT18+AU18+AV18+AW18+AX18</f>
        <v/>
      </c>
      <c r="BP18" s="157">
        <f>AY18+AZ18+BA18+BB18+BC18+BD18+BE18+BF18+BG18+BH18+BI18+BJ18</f>
        <v/>
      </c>
    </row>
    <row r="19" ht="15" customHeight="1" s="104">
      <c r="A19" s="215" t="inlineStr">
        <is>
          <t xml:space="preserve">    % of Revenue</t>
        </is>
      </c>
      <c r="C19" s="216">
        <f>IF(C6=0,0,C18/C6)</f>
        <v/>
      </c>
      <c r="D19" s="216">
        <f>IF(D6=0,0,D18/D6)</f>
        <v/>
      </c>
      <c r="E19" s="216">
        <f>IF(E6=0,0,E18/E6)</f>
        <v/>
      </c>
      <c r="F19" s="216">
        <f>IF(F6=0,0,F18/F6)</f>
        <v/>
      </c>
      <c r="G19" s="216">
        <f>IF(G6=0,0,G18/G6)</f>
        <v/>
      </c>
      <c r="H19" s="216">
        <f>IF(H6=0,0,H18/H6)</f>
        <v/>
      </c>
      <c r="I19" s="216">
        <f>IF(I6=0,0,I18/I6)</f>
        <v/>
      </c>
      <c r="J19" s="216">
        <f>IF(J6=0,0,J18/J6)</f>
        <v/>
      </c>
      <c r="K19" s="216">
        <f>IF(K6=0,0,K18/K6)</f>
        <v/>
      </c>
      <c r="L19" s="216">
        <f>IF(L6=0,0,L18/L6)</f>
        <v/>
      </c>
      <c r="M19" s="216">
        <f>IF(M6=0,0,M18/M6)</f>
        <v/>
      </c>
      <c r="N19" s="216">
        <f>IF(N6=0,0,N18/N6)</f>
        <v/>
      </c>
      <c r="O19" s="216">
        <f>IF(O6=0,0,O18/O6)</f>
        <v/>
      </c>
      <c r="P19" s="216">
        <f>IF(P6=0,0,P18/P6)</f>
        <v/>
      </c>
      <c r="Q19" s="216">
        <f>IF(Q6=0,0,Q18/Q6)</f>
        <v/>
      </c>
      <c r="R19" s="216">
        <f>IF(R6=0,0,R18/R6)</f>
        <v/>
      </c>
      <c r="S19" s="216">
        <f>IF(S6=0,0,S18/S6)</f>
        <v/>
      </c>
      <c r="T19" s="216">
        <f>IF(T6=0,0,T18/T6)</f>
        <v/>
      </c>
      <c r="U19" s="216">
        <f>IF(U6=0,0,U18/U6)</f>
        <v/>
      </c>
      <c r="V19" s="216">
        <f>IF(V6=0,0,V18/V6)</f>
        <v/>
      </c>
      <c r="W19" s="216">
        <f>IF(W6=0,0,W18/W6)</f>
        <v/>
      </c>
      <c r="X19" s="216">
        <f>IF(X6=0,0,X18/X6)</f>
        <v/>
      </c>
      <c r="Y19" s="216">
        <f>IF(Y6=0,0,Y18/Y6)</f>
        <v/>
      </c>
      <c r="Z19" s="216">
        <f>IF(Z6=0,0,Z18/Z6)</f>
        <v/>
      </c>
      <c r="AA19" s="216">
        <f>IF(AA6=0,0,AA18/AA6)</f>
        <v/>
      </c>
      <c r="AB19" s="216">
        <f>IF(AB6=0,0,AB18/AB6)</f>
        <v/>
      </c>
      <c r="AC19" s="216">
        <f>IF(AC6=0,0,AC18/AC6)</f>
        <v/>
      </c>
      <c r="AD19" s="216">
        <f>IF(AD6=0,0,AD18/AD6)</f>
        <v/>
      </c>
      <c r="AE19" s="216">
        <f>IF(AE6=0,0,AE18/AE6)</f>
        <v/>
      </c>
      <c r="AF19" s="216">
        <f>IF(AF6=0,0,AF18/AF6)</f>
        <v/>
      </c>
      <c r="AG19" s="216">
        <f>IF(AG6=0,0,AG18/AG6)</f>
        <v/>
      </c>
      <c r="AH19" s="216">
        <f>IF(AH6=0,0,AH18/AH6)</f>
        <v/>
      </c>
      <c r="AI19" s="216">
        <f>IF(AI6=0,0,AI18/AI6)</f>
        <v/>
      </c>
      <c r="AJ19" s="216">
        <f>IF(AJ6=0,0,AJ18/AJ6)</f>
        <v/>
      </c>
      <c r="AK19" s="216">
        <f>IF(AK6=0,0,AK18/AK6)</f>
        <v/>
      </c>
      <c r="AL19" s="216">
        <f>IF(AL6=0,0,AL18/AL6)</f>
        <v/>
      </c>
      <c r="AM19" s="216">
        <f>IF(AM6=0,0,AM18/AM6)</f>
        <v/>
      </c>
      <c r="AN19" s="216">
        <f>IF(AN6=0,0,AN18/AN6)</f>
        <v/>
      </c>
      <c r="AO19" s="216">
        <f>IF(AO6=0,0,AO18/AO6)</f>
        <v/>
      </c>
      <c r="AP19" s="216">
        <f>IF(AP6=0,0,AP18/AP6)</f>
        <v/>
      </c>
      <c r="AQ19" s="216">
        <f>IF(AQ6=0,0,AQ18/AQ6)</f>
        <v/>
      </c>
      <c r="AR19" s="216">
        <f>IF(AR6=0,0,AR18/AR6)</f>
        <v/>
      </c>
      <c r="AS19" s="216">
        <f>IF(AS6=0,0,AS18/AS6)</f>
        <v/>
      </c>
      <c r="AT19" s="216">
        <f>IF(AT6=0,0,AT18/AT6)</f>
        <v/>
      </c>
      <c r="AU19" s="216">
        <f>IF(AU6=0,0,AU18/AU6)</f>
        <v/>
      </c>
      <c r="AV19" s="216">
        <f>IF(AV6=0,0,AV18/AV6)</f>
        <v/>
      </c>
      <c r="AW19" s="216">
        <f>IF(AW6=0,0,AW18/AW6)</f>
        <v/>
      </c>
      <c r="AX19" s="216">
        <f>IF(AX6=0,0,AX18/AX6)</f>
        <v/>
      </c>
      <c r="AY19" s="216">
        <f>IF(AY6=0,0,AY18/AY6)</f>
        <v/>
      </c>
      <c r="AZ19" s="216">
        <f>IF(AZ6=0,0,AZ18/AZ6)</f>
        <v/>
      </c>
      <c r="BA19" s="216">
        <f>IF(BA6=0,0,BA18/BA6)</f>
        <v/>
      </c>
      <c r="BB19" s="216">
        <f>IF(BB6=0,0,BB18/BB6)</f>
        <v/>
      </c>
      <c r="BC19" s="216">
        <f>IF(BC6=0,0,BC18/BC6)</f>
        <v/>
      </c>
      <c r="BD19" s="216">
        <f>IF(BD6=0,0,BD18/BD6)</f>
        <v/>
      </c>
      <c r="BE19" s="216">
        <f>IF(BE6=0,0,BE18/BE6)</f>
        <v/>
      </c>
      <c r="BF19" s="216">
        <f>IF(BF6=0,0,BF18/BF6)</f>
        <v/>
      </c>
      <c r="BG19" s="216">
        <f>IF(BG6=0,0,BG18/BG6)</f>
        <v/>
      </c>
      <c r="BH19" s="216">
        <f>IF(BH6=0,0,BH18/BH6)</f>
        <v/>
      </c>
      <c r="BI19" s="216">
        <f>IF(BI6=0,0,BI18/BI6)</f>
        <v/>
      </c>
      <c r="BJ19" s="216">
        <f>IF(BJ6=0,0,BJ18/BJ6)</f>
        <v/>
      </c>
      <c r="BL19" s="217">
        <f>IF((C6+D6+E6+F6+G6+H6+I6+J6+K6+L6+M6+N6)=0,0,(C18+D18+E18+F18+G18+H18+I18+J18+K18+L18+M18+N18)/(C6+D6+E6+F6+G6+H6+I6+J6+K6+L6+M6+N6))</f>
        <v/>
      </c>
      <c r="BM19" s="217">
        <f>IF((O6+P6+Q6+R6+S6+T6+U6+V6+W6+X6+Y6+Z6)=0,0,(O18+P18+Q18+R18+S18+T18+U18+V18+W18+X18+Y18+Z18)/(O6+P6+Q6+R6+S6+T6+U6+V6+W6+X6+Y6+Z6))</f>
        <v/>
      </c>
      <c r="BN19" s="217">
        <f>IF((AA6+AB6+AC6+AD6+AE6+AF6+AG6+AH6+AI6+AJ6+AK6+AL6)=0,0,(AA18+AB18+AC18+AD18+AE18+AF18+AG18+AH18+AI18+AJ18+AK18+AL18)/(AA6+AB6+AC6+AD6+AE6+AF6+AG6+AH6+AI6+AJ6+AK6+AL6))</f>
        <v/>
      </c>
      <c r="BO19" s="217">
        <f>IF((AM6+AN6+AO6+AP6+AQ6+AR6+AS6+AT6+AU6+AV6+AW6+AX6)=0,0,(AM18+AN18+AO18+AP18+AQ18+AR18+AS18+AT18+AU18+AV18+AW18+AX18)/(AM6+AN6+AO6+AP6+AQ6+AR6+AS6+AT6+AU6+AV6+AW6+AX6))</f>
        <v/>
      </c>
      <c r="BP19" s="217">
        <f>IF((AY6+AZ6+BA6+BB6+BC6+BD6+BE6+BF6+BG6+BH6+BI6+BJ6)=0,0,(AY18+AZ18+BA18+BB18+BC18+BD18+BE18+BF18+BG18+BH18+BI18+BJ18)/(AY6+AZ6+BA6+BB6+BC6+BD6+BE6+BF6+BG6+BH6+BI6+BJ6))</f>
        <v/>
      </c>
    </row>
    <row r="20" ht="15" customHeight="1" s="104">
      <c r="A20" s="116" t="inlineStr">
        <is>
          <t>Total Operating Expenses</t>
        </is>
      </c>
      <c r="C20" s="151">
        <f>C8+C10+C12+C14+C16+C18</f>
        <v/>
      </c>
      <c r="D20" s="151">
        <f>D8+D10+D12+D14+D16+D18</f>
        <v/>
      </c>
      <c r="E20" s="151">
        <f>E8+E10+E12+E14+E16+E18</f>
        <v/>
      </c>
      <c r="F20" s="151">
        <f>F8+F10+F12+F14+F16+F18</f>
        <v/>
      </c>
      <c r="G20" s="151">
        <f>G8+G10+G12+G14+G16+G18</f>
        <v/>
      </c>
      <c r="H20" s="151">
        <f>H8+H10+H12+H14+H16+H18</f>
        <v/>
      </c>
      <c r="I20" s="151">
        <f>I8+I10+I12+I14+I16+I18</f>
        <v/>
      </c>
      <c r="J20" s="151">
        <f>J8+J10+J12+J14+J16+J18</f>
        <v/>
      </c>
      <c r="K20" s="151">
        <f>K8+K10+K12+K14+K16+K18</f>
        <v/>
      </c>
      <c r="L20" s="151">
        <f>L8+L10+L12+L14+L16+L18</f>
        <v/>
      </c>
      <c r="M20" s="151">
        <f>M8+M10+M12+M14+M16+M18</f>
        <v/>
      </c>
      <c r="N20" s="151">
        <f>N8+N10+N12+N14+N16+N18</f>
        <v/>
      </c>
      <c r="O20" s="151">
        <f>O8+O10+O12+O14+O16+O18</f>
        <v/>
      </c>
      <c r="P20" s="151">
        <f>P8+P10+P12+P14+P16+P18</f>
        <v/>
      </c>
      <c r="Q20" s="151">
        <f>Q8+Q10+Q12+Q14+Q16+Q18</f>
        <v/>
      </c>
      <c r="R20" s="151">
        <f>R8+R10+R12+R14+R16+R18</f>
        <v/>
      </c>
      <c r="S20" s="151">
        <f>S8+S10+S12+S14+S16+S18</f>
        <v/>
      </c>
      <c r="T20" s="151">
        <f>T8+T10+T12+T14+T16+T18</f>
        <v/>
      </c>
      <c r="U20" s="151">
        <f>U8+U10+U12+U14+U16+U18</f>
        <v/>
      </c>
      <c r="V20" s="151">
        <f>V8+V10+V12+V14+V16+V18</f>
        <v/>
      </c>
      <c r="W20" s="151">
        <f>W8+W10+W12+W14+W16+W18</f>
        <v/>
      </c>
      <c r="X20" s="151">
        <f>X8+X10+X12+X14+X16+X18</f>
        <v/>
      </c>
      <c r="Y20" s="151">
        <f>Y8+Y10+Y12+Y14+Y16+Y18</f>
        <v/>
      </c>
      <c r="Z20" s="151">
        <f>Z8+Z10+Z12+Z14+Z16+Z18</f>
        <v/>
      </c>
      <c r="AA20" s="151">
        <f>AA8+AA10+AA12+AA14+AA16+AA18</f>
        <v/>
      </c>
      <c r="AB20" s="151">
        <f>AB8+AB10+AB12+AB14+AB16+AB18</f>
        <v/>
      </c>
      <c r="AC20" s="151">
        <f>AC8+AC10+AC12+AC14+AC16+AC18</f>
        <v/>
      </c>
      <c r="AD20" s="151">
        <f>AD8+AD10+AD12+AD14+AD16+AD18</f>
        <v/>
      </c>
      <c r="AE20" s="151">
        <f>AE8+AE10+AE12+AE14+AE16+AE18</f>
        <v/>
      </c>
      <c r="AF20" s="151">
        <f>AF8+AF10+AF12+AF14+AF16+AF18</f>
        <v/>
      </c>
      <c r="AG20" s="151">
        <f>AG8+AG10+AG12+AG14+AG16+AG18</f>
        <v/>
      </c>
      <c r="AH20" s="151">
        <f>AH8+AH10+AH12+AH14+AH16+AH18</f>
        <v/>
      </c>
      <c r="AI20" s="151">
        <f>AI8+AI10+AI12+AI14+AI16+AI18</f>
        <v/>
      </c>
      <c r="AJ20" s="151">
        <f>AJ8+AJ10+AJ12+AJ14+AJ16+AJ18</f>
        <v/>
      </c>
      <c r="AK20" s="151">
        <f>AK8+AK10+AK12+AK14+AK16+AK18</f>
        <v/>
      </c>
      <c r="AL20" s="151">
        <f>AL8+AL10+AL12+AL14+AL16+AL18</f>
        <v/>
      </c>
      <c r="AM20" s="151">
        <f>AM8+AM10+AM12+AM14+AM16+AM18</f>
        <v/>
      </c>
      <c r="AN20" s="151">
        <f>AN8+AN10+AN12+AN14+AN16+AN18</f>
        <v/>
      </c>
      <c r="AO20" s="151">
        <f>AO8+AO10+AO12+AO14+AO16+AO18</f>
        <v/>
      </c>
      <c r="AP20" s="151">
        <f>AP8+AP10+AP12+AP14+AP16+AP18</f>
        <v/>
      </c>
      <c r="AQ20" s="151">
        <f>AQ8+AQ10+AQ12+AQ14+AQ16+AQ18</f>
        <v/>
      </c>
      <c r="AR20" s="151">
        <f>AR8+AR10+AR12+AR14+AR16+AR18</f>
        <v/>
      </c>
      <c r="AS20" s="151">
        <f>AS8+AS10+AS12+AS14+AS16+AS18</f>
        <v/>
      </c>
      <c r="AT20" s="151">
        <f>AT8+AT10+AT12+AT14+AT16+AT18</f>
        <v/>
      </c>
      <c r="AU20" s="151">
        <f>AU8+AU10+AU12+AU14+AU16+AU18</f>
        <v/>
      </c>
      <c r="AV20" s="151">
        <f>AV8+AV10+AV12+AV14+AV16+AV18</f>
        <v/>
      </c>
      <c r="AW20" s="151">
        <f>AW8+AW10+AW12+AW14+AW16+AW18</f>
        <v/>
      </c>
      <c r="AX20" s="151">
        <f>AX8+AX10+AX12+AX14+AX16+AX18</f>
        <v/>
      </c>
      <c r="AY20" s="151">
        <f>AY8+AY10+AY12+AY14+AY16+AY18</f>
        <v/>
      </c>
      <c r="AZ20" s="151">
        <f>AZ8+AZ10+AZ12+AZ14+AZ16+AZ18</f>
        <v/>
      </c>
      <c r="BA20" s="151">
        <f>BA8+BA10+BA12+BA14+BA16+BA18</f>
        <v/>
      </c>
      <c r="BB20" s="151">
        <f>BB8+BB10+BB12+BB14+BB16+BB18</f>
        <v/>
      </c>
      <c r="BC20" s="151">
        <f>BC8+BC10+BC12+BC14+BC16+BC18</f>
        <v/>
      </c>
      <c r="BD20" s="151">
        <f>BD8+BD10+BD12+BD14+BD16+BD18</f>
        <v/>
      </c>
      <c r="BE20" s="151">
        <f>BE8+BE10+BE12+BE14+BE16+BE18</f>
        <v/>
      </c>
      <c r="BF20" s="151">
        <f>BF8+BF10+BF12+BF14+BF16+BF18</f>
        <v/>
      </c>
      <c r="BG20" s="151">
        <f>BG8+BG10+BG12+BG14+BG16+BG18</f>
        <v/>
      </c>
      <c r="BH20" s="151">
        <f>BH8+BH10+BH12+BH14+BH16+BH18</f>
        <v/>
      </c>
      <c r="BI20" s="151">
        <f>BI8+BI10+BI12+BI14+BI16+BI18</f>
        <v/>
      </c>
      <c r="BJ20" s="151">
        <f>BJ8+BJ10+BJ12+BJ14+BJ16+BJ18</f>
        <v/>
      </c>
      <c r="BL20" s="152">
        <f>C20+D20+E20+F20+G20+H20+I20+J20+K20+L20+M20+N20</f>
        <v/>
      </c>
      <c r="BM20" s="152">
        <f>O20+P20+Q20+R20+S20+T20+U20+V20+W20+X20+Y20+Z20</f>
        <v/>
      </c>
      <c r="BN20" s="152">
        <f>AA20+AB20+AC20+AD20+AE20+AF20+AG20+AH20+AI20+AJ20+AK20+AL20</f>
        <v/>
      </c>
      <c r="BO20" s="152">
        <f>AM20+AN20+AO20+AP20+AQ20+AR20+AS20+AT20+AU20+AV20+AW20+AX20</f>
        <v/>
      </c>
      <c r="BP20" s="152">
        <f>AY20+AZ20+BA20+BB20+BC20+BD20+BE20+BF20+BG20+BH20+BI20+BJ20</f>
        <v/>
      </c>
    </row>
    <row r="21" ht="15" customHeight="1" s="104">
      <c r="A21" s="106" t="inlineStr">
        <is>
          <t>EBITDA</t>
        </is>
      </c>
    </row>
    <row r="22" ht="15" customHeight="1" s="104">
      <c r="A22" s="116" t="inlineStr">
        <is>
          <t>EBITDA</t>
        </is>
      </c>
      <c r="C22" s="151">
        <f>C6-C20</f>
        <v/>
      </c>
      <c r="D22" s="151">
        <f>D6-D20</f>
        <v/>
      </c>
      <c r="E22" s="151">
        <f>E6-E20</f>
        <v/>
      </c>
      <c r="F22" s="151">
        <f>F6-F20</f>
        <v/>
      </c>
      <c r="G22" s="151">
        <f>G6-G20</f>
        <v/>
      </c>
      <c r="H22" s="151">
        <f>H6-H20</f>
        <v/>
      </c>
      <c r="I22" s="151">
        <f>I6-I20</f>
        <v/>
      </c>
      <c r="J22" s="151">
        <f>J6-J20</f>
        <v/>
      </c>
      <c r="K22" s="151">
        <f>K6-K20</f>
        <v/>
      </c>
      <c r="L22" s="151">
        <f>L6-L20</f>
        <v/>
      </c>
      <c r="M22" s="151">
        <f>M6-M20</f>
        <v/>
      </c>
      <c r="N22" s="151">
        <f>N6-N20</f>
        <v/>
      </c>
      <c r="O22" s="151">
        <f>O6-O20</f>
        <v/>
      </c>
      <c r="P22" s="151">
        <f>P6-P20</f>
        <v/>
      </c>
      <c r="Q22" s="151">
        <f>Q6-Q20</f>
        <v/>
      </c>
      <c r="R22" s="151">
        <f>R6-R20</f>
        <v/>
      </c>
      <c r="S22" s="151">
        <f>S6-S20</f>
        <v/>
      </c>
      <c r="T22" s="151">
        <f>T6-T20</f>
        <v/>
      </c>
      <c r="U22" s="151">
        <f>U6-U20</f>
        <v/>
      </c>
      <c r="V22" s="151">
        <f>V6-V20</f>
        <v/>
      </c>
      <c r="W22" s="151">
        <f>W6-W20</f>
        <v/>
      </c>
      <c r="X22" s="151">
        <f>X6-X20</f>
        <v/>
      </c>
      <c r="Y22" s="151">
        <f>Y6-Y20</f>
        <v/>
      </c>
      <c r="Z22" s="151">
        <f>Z6-Z20</f>
        <v/>
      </c>
      <c r="AA22" s="151">
        <f>AA6-AA20</f>
        <v/>
      </c>
      <c r="AB22" s="151">
        <f>AB6-AB20</f>
        <v/>
      </c>
      <c r="AC22" s="151">
        <f>AC6-AC20</f>
        <v/>
      </c>
      <c r="AD22" s="151">
        <f>AD6-AD20</f>
        <v/>
      </c>
      <c r="AE22" s="151">
        <f>AE6-AE20</f>
        <v/>
      </c>
      <c r="AF22" s="151">
        <f>AF6-AF20</f>
        <v/>
      </c>
      <c r="AG22" s="151">
        <f>AG6-AG20</f>
        <v/>
      </c>
      <c r="AH22" s="151">
        <f>AH6-AH20</f>
        <v/>
      </c>
      <c r="AI22" s="151">
        <f>AI6-AI20</f>
        <v/>
      </c>
      <c r="AJ22" s="151">
        <f>AJ6-AJ20</f>
        <v/>
      </c>
      <c r="AK22" s="151">
        <f>AK6-AK20</f>
        <v/>
      </c>
      <c r="AL22" s="151">
        <f>AL6-AL20</f>
        <v/>
      </c>
      <c r="AM22" s="151">
        <f>AM6-AM20</f>
        <v/>
      </c>
      <c r="AN22" s="151">
        <f>AN6-AN20</f>
        <v/>
      </c>
      <c r="AO22" s="151">
        <f>AO6-AO20</f>
        <v/>
      </c>
      <c r="AP22" s="151">
        <f>AP6-AP20</f>
        <v/>
      </c>
      <c r="AQ22" s="151">
        <f>AQ6-AQ20</f>
        <v/>
      </c>
      <c r="AR22" s="151">
        <f>AR6-AR20</f>
        <v/>
      </c>
      <c r="AS22" s="151">
        <f>AS6-AS20</f>
        <v/>
      </c>
      <c r="AT22" s="151">
        <f>AT6-AT20</f>
        <v/>
      </c>
      <c r="AU22" s="151">
        <f>AU6-AU20</f>
        <v/>
      </c>
      <c r="AV22" s="151">
        <f>AV6-AV20</f>
        <v/>
      </c>
      <c r="AW22" s="151">
        <f>AW6-AW20</f>
        <v/>
      </c>
      <c r="AX22" s="151">
        <f>AX6-AX20</f>
        <v/>
      </c>
      <c r="AY22" s="151">
        <f>AY6-AY20</f>
        <v/>
      </c>
      <c r="AZ22" s="151">
        <f>AZ6-AZ20</f>
        <v/>
      </c>
      <c r="BA22" s="151">
        <f>BA6-BA20</f>
        <v/>
      </c>
      <c r="BB22" s="151">
        <f>BB6-BB20</f>
        <v/>
      </c>
      <c r="BC22" s="151">
        <f>BC6-BC20</f>
        <v/>
      </c>
      <c r="BD22" s="151">
        <f>BD6-BD20</f>
        <v/>
      </c>
      <c r="BE22" s="151">
        <f>BE6-BE20</f>
        <v/>
      </c>
      <c r="BF22" s="151">
        <f>BF6-BF20</f>
        <v/>
      </c>
      <c r="BG22" s="151">
        <f>BG6-BG20</f>
        <v/>
      </c>
      <c r="BH22" s="151">
        <f>BH6-BH20</f>
        <v/>
      </c>
      <c r="BI22" s="151">
        <f>BI6-BI20</f>
        <v/>
      </c>
      <c r="BJ22" s="151">
        <f>BJ6-BJ20</f>
        <v/>
      </c>
      <c r="BL22" s="152">
        <f>C22+D22+E22+F22+G22+H22+I22+J22+K22+L22+M22+N22</f>
        <v/>
      </c>
      <c r="BM22" s="152">
        <f>O22+P22+Q22+R22+S22+T22+U22+V22+W22+X22+Y22+Z22</f>
        <v/>
      </c>
      <c r="BN22" s="152">
        <f>AA22+AB22+AC22+AD22+AE22+AF22+AG22+AH22+AI22+AJ22+AK22+AL22</f>
        <v/>
      </c>
      <c r="BO22" s="152">
        <f>AM22+AN22+AO22+AP22+AQ22+AR22+AS22+AT22+AU22+AV22+AW22+AX22</f>
        <v/>
      </c>
      <c r="BP22" s="152">
        <f>AY22+AZ22+BA22+BB22+BC22+BD22+BE22+BF22+BG22+BH22+BI22+BJ22</f>
        <v/>
      </c>
    </row>
    <row r="23" ht="15" customHeight="1" s="104">
      <c r="A23" s="218" t="inlineStr">
        <is>
          <t xml:space="preserve">    EBITDA Margin %</t>
        </is>
      </c>
      <c r="C23" s="192">
        <f>IF(C6=0,0,C22/C6)</f>
        <v/>
      </c>
      <c r="D23" s="192">
        <f>IF(D6=0,0,D22/D6)</f>
        <v/>
      </c>
      <c r="E23" s="192">
        <f>IF(E6=0,0,E22/E6)</f>
        <v/>
      </c>
      <c r="F23" s="192">
        <f>IF(F6=0,0,F22/F6)</f>
        <v/>
      </c>
      <c r="G23" s="192">
        <f>IF(G6=0,0,G22/G6)</f>
        <v/>
      </c>
      <c r="H23" s="192">
        <f>IF(H6=0,0,H22/H6)</f>
        <v/>
      </c>
      <c r="I23" s="192">
        <f>IF(I6=0,0,I22/I6)</f>
        <v/>
      </c>
      <c r="J23" s="192">
        <f>IF(J6=0,0,J22/J6)</f>
        <v/>
      </c>
      <c r="K23" s="192">
        <f>IF(K6=0,0,K22/K6)</f>
        <v/>
      </c>
      <c r="L23" s="192">
        <f>IF(L6=0,0,L22/L6)</f>
        <v/>
      </c>
      <c r="M23" s="192">
        <f>IF(M6=0,0,M22/M6)</f>
        <v/>
      </c>
      <c r="N23" s="192">
        <f>IF(N6=0,0,N22/N6)</f>
        <v/>
      </c>
      <c r="O23" s="192">
        <f>IF(O6=0,0,O22/O6)</f>
        <v/>
      </c>
      <c r="P23" s="192">
        <f>IF(P6=0,0,P22/P6)</f>
        <v/>
      </c>
      <c r="Q23" s="192">
        <f>IF(Q6=0,0,Q22/Q6)</f>
        <v/>
      </c>
      <c r="R23" s="192">
        <f>IF(R6=0,0,R22/R6)</f>
        <v/>
      </c>
      <c r="S23" s="192">
        <f>IF(S6=0,0,S22/S6)</f>
        <v/>
      </c>
      <c r="T23" s="192">
        <f>IF(T6=0,0,T22/T6)</f>
        <v/>
      </c>
      <c r="U23" s="192">
        <f>IF(U6=0,0,U22/U6)</f>
        <v/>
      </c>
      <c r="V23" s="192">
        <f>IF(V6=0,0,V22/V6)</f>
        <v/>
      </c>
      <c r="W23" s="192">
        <f>IF(W6=0,0,W22/W6)</f>
        <v/>
      </c>
      <c r="X23" s="192">
        <f>IF(X6=0,0,X22/X6)</f>
        <v/>
      </c>
      <c r="Y23" s="192">
        <f>IF(Y6=0,0,Y22/Y6)</f>
        <v/>
      </c>
      <c r="Z23" s="192">
        <f>IF(Z6=0,0,Z22/Z6)</f>
        <v/>
      </c>
      <c r="AA23" s="192">
        <f>IF(AA6=0,0,AA22/AA6)</f>
        <v/>
      </c>
      <c r="AB23" s="192">
        <f>IF(AB6=0,0,AB22/AB6)</f>
        <v/>
      </c>
      <c r="AC23" s="192">
        <f>IF(AC6=0,0,AC22/AC6)</f>
        <v/>
      </c>
      <c r="AD23" s="192">
        <f>IF(AD6=0,0,AD22/AD6)</f>
        <v/>
      </c>
      <c r="AE23" s="192">
        <f>IF(AE6=0,0,AE22/AE6)</f>
        <v/>
      </c>
      <c r="AF23" s="192">
        <f>IF(AF6=0,0,AF22/AF6)</f>
        <v/>
      </c>
      <c r="AG23" s="192">
        <f>IF(AG6=0,0,AG22/AG6)</f>
        <v/>
      </c>
      <c r="AH23" s="192">
        <f>IF(AH6=0,0,AH22/AH6)</f>
        <v/>
      </c>
      <c r="AI23" s="192">
        <f>IF(AI6=0,0,AI22/AI6)</f>
        <v/>
      </c>
      <c r="AJ23" s="192">
        <f>IF(AJ6=0,0,AJ22/AJ6)</f>
        <v/>
      </c>
      <c r="AK23" s="192">
        <f>IF(AK6=0,0,AK22/AK6)</f>
        <v/>
      </c>
      <c r="AL23" s="192">
        <f>IF(AL6=0,0,AL22/AL6)</f>
        <v/>
      </c>
      <c r="AM23" s="192">
        <f>IF(AM6=0,0,AM22/AM6)</f>
        <v/>
      </c>
      <c r="AN23" s="192">
        <f>IF(AN6=0,0,AN22/AN6)</f>
        <v/>
      </c>
      <c r="AO23" s="192">
        <f>IF(AO6=0,0,AO22/AO6)</f>
        <v/>
      </c>
      <c r="AP23" s="192">
        <f>IF(AP6=0,0,AP22/AP6)</f>
        <v/>
      </c>
      <c r="AQ23" s="192">
        <f>IF(AQ6=0,0,AQ22/AQ6)</f>
        <v/>
      </c>
      <c r="AR23" s="192">
        <f>IF(AR6=0,0,AR22/AR6)</f>
        <v/>
      </c>
      <c r="AS23" s="192">
        <f>IF(AS6=0,0,AS22/AS6)</f>
        <v/>
      </c>
      <c r="AT23" s="192">
        <f>IF(AT6=0,0,AT22/AT6)</f>
        <v/>
      </c>
      <c r="AU23" s="192">
        <f>IF(AU6=0,0,AU22/AU6)</f>
        <v/>
      </c>
      <c r="AV23" s="192">
        <f>IF(AV6=0,0,AV22/AV6)</f>
        <v/>
      </c>
      <c r="AW23" s="192">
        <f>IF(AW6=0,0,AW22/AW6)</f>
        <v/>
      </c>
      <c r="AX23" s="192">
        <f>IF(AX6=0,0,AX22/AX6)</f>
        <v/>
      </c>
      <c r="AY23" s="192">
        <f>IF(AY6=0,0,AY22/AY6)</f>
        <v/>
      </c>
      <c r="AZ23" s="192">
        <f>IF(AZ6=0,0,AZ22/AZ6)</f>
        <v/>
      </c>
      <c r="BA23" s="192">
        <f>IF(BA6=0,0,BA22/BA6)</f>
        <v/>
      </c>
      <c r="BB23" s="192">
        <f>IF(BB6=0,0,BB22/BB6)</f>
        <v/>
      </c>
      <c r="BC23" s="192">
        <f>IF(BC6=0,0,BC22/BC6)</f>
        <v/>
      </c>
      <c r="BD23" s="192">
        <f>IF(BD6=0,0,BD22/BD6)</f>
        <v/>
      </c>
      <c r="BE23" s="192">
        <f>IF(BE6=0,0,BE22/BE6)</f>
        <v/>
      </c>
      <c r="BF23" s="192">
        <f>IF(BF6=0,0,BF22/BF6)</f>
        <v/>
      </c>
      <c r="BG23" s="192">
        <f>IF(BG6=0,0,BG22/BG6)</f>
        <v/>
      </c>
      <c r="BH23" s="192">
        <f>IF(BH6=0,0,BH22/BH6)</f>
        <v/>
      </c>
      <c r="BI23" s="192">
        <f>IF(BI6=0,0,BI22/BI6)</f>
        <v/>
      </c>
      <c r="BJ23" s="192">
        <f>IF(BJ6=0,0,BJ22/BJ6)</f>
        <v/>
      </c>
      <c r="BL23" s="219">
        <f>IF((C6+D6+E6+F6+G6+H6+I6+J6+K6+L6+M6+N6)=0,0,(C22+D22+E22+F22+G22+H22+I22+J22+K22+L22+M22+N22)/(C6+D6+E6+F6+G6+H6+I6+J6+K6+L6+M6+N6))</f>
        <v/>
      </c>
      <c r="BM23" s="219">
        <f>IF((O6+P6+Q6+R6+S6+T6+U6+V6+W6+X6+Y6+Z6)=0,0,(O22+P22+Q22+R22+S22+T22+U22+V22+W22+X22+Y22+Z22)/(O6+P6+Q6+R6+S6+T6+U6+V6+W6+X6+Y6+Z6))</f>
        <v/>
      </c>
      <c r="BN23" s="219">
        <f>IF((AA6+AB6+AC6+AD6+AE6+AF6+AG6+AH6+AI6+AJ6+AK6+AL6)=0,0,(AA22+AB22+AC22+AD22+AE22+AF22+AG22+AH22+AI22+AJ22+AK22+AL22)/(AA6+AB6+AC6+AD6+AE6+AF6+AG6+AH6+AI6+AJ6+AK6+AL6))</f>
        <v/>
      </c>
      <c r="BO23" s="219">
        <f>IF((AM6+AN6+AO6+AP6+AQ6+AR6+AS6+AT6+AU6+AV6+AW6+AX6)=0,0,(AM22+AN22+AO22+AP22+AQ22+AR22+AS22+AT22+AU22+AV22+AW22+AX22)/(AM6+AN6+AO6+AP6+AQ6+AR6+AS6+AT6+AU6+AV6+AW6+AX6))</f>
        <v/>
      </c>
      <c r="BP23" s="219">
        <f>IF((AY6+AZ6+BA6+BB6+BC6+BD6+BE6+BF6+BG6+BH6+BI6+BJ6)=0,0,(AY22+AZ22+BA22+BB22+BC22+BD22+BE22+BF22+BG22+BH22+BI22+BJ22)/(AY6+AZ6+BA6+BB6+BC6+BD6+BE6+BF6+BG6+BH6+BI6+BJ6))</f>
        <v/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18.xml><?xml version="1.0" encoding="utf-8"?>
<worksheet xmlns="http://schemas.openxmlformats.org/spreadsheetml/2006/main">
  <sheetPr filterMode="0">
    <tabColor rgb="FF5B9BD5"/>
    <outlinePr summaryBelow="1" summaryRight="1"/>
    <pageSetUpPr fitToPage="0"/>
  </sheetPr>
  <dimension ref="A1:BP2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baseColWidth="8" defaultColWidth="8.71484375" defaultRowHeight="15" zeroHeight="0" outlineLevelRow="0"/>
  <cols>
    <col width="38" customWidth="1" style="103" min="1" max="1"/>
    <col width="9" customWidth="1" style="103" min="3" max="62"/>
    <col width="11" customWidth="1" style="103" min="64" max="68"/>
  </cols>
  <sheetData>
    <row r="1" ht="19.5" customHeight="1" s="104">
      <c r="A1" s="105" t="inlineStr">
        <is>
          <t>Add-On 10 – Monthly P&amp;L ($mm)</t>
        </is>
      </c>
    </row>
    <row r="3" ht="15" customHeight="1" s="104">
      <c r="A3" s="116" t="inlineStr">
        <is>
          <t>($mm)</t>
        </is>
      </c>
      <c r="C3" s="149" t="inlineStr">
        <is>
          <t>Oct-26</t>
        </is>
      </c>
      <c r="D3" s="149" t="inlineStr">
        <is>
          <t>Nov-26</t>
        </is>
      </c>
      <c r="E3" s="149" t="inlineStr">
        <is>
          <t>Dec-26</t>
        </is>
      </c>
      <c r="F3" s="149" t="inlineStr">
        <is>
          <t>Jan-27</t>
        </is>
      </c>
      <c r="G3" s="149" t="inlineStr">
        <is>
          <t>Feb-27</t>
        </is>
      </c>
      <c r="H3" s="149" t="inlineStr">
        <is>
          <t>Mar-27</t>
        </is>
      </c>
      <c r="I3" s="149" t="inlineStr">
        <is>
          <t>Apr-27</t>
        </is>
      </c>
      <c r="J3" s="149" t="inlineStr">
        <is>
          <t>May-27</t>
        </is>
      </c>
      <c r="K3" s="149" t="inlineStr">
        <is>
          <t>Jun-27</t>
        </is>
      </c>
      <c r="L3" s="149" t="inlineStr">
        <is>
          <t>Jul-27</t>
        </is>
      </c>
      <c r="M3" s="149" t="inlineStr">
        <is>
          <t>Aug-27</t>
        </is>
      </c>
      <c r="N3" s="149" t="inlineStr">
        <is>
          <t>Sep-27</t>
        </is>
      </c>
      <c r="O3" s="149" t="inlineStr">
        <is>
          <t>Oct-27</t>
        </is>
      </c>
      <c r="P3" s="149" t="inlineStr">
        <is>
          <t>Nov-27</t>
        </is>
      </c>
      <c r="Q3" s="149" t="inlineStr">
        <is>
          <t>Dec-27</t>
        </is>
      </c>
      <c r="R3" s="149" t="inlineStr">
        <is>
          <t>Jan-28</t>
        </is>
      </c>
      <c r="S3" s="149" t="inlineStr">
        <is>
          <t>Feb-28</t>
        </is>
      </c>
      <c r="T3" s="149" t="inlineStr">
        <is>
          <t>Mar-28</t>
        </is>
      </c>
      <c r="U3" s="149" t="inlineStr">
        <is>
          <t>Apr-28</t>
        </is>
      </c>
      <c r="V3" s="149" t="inlineStr">
        <is>
          <t>May-28</t>
        </is>
      </c>
      <c r="W3" s="149" t="inlineStr">
        <is>
          <t>Jun-28</t>
        </is>
      </c>
      <c r="X3" s="149" t="inlineStr">
        <is>
          <t>Jul-28</t>
        </is>
      </c>
      <c r="Y3" s="149" t="inlineStr">
        <is>
          <t>Aug-28</t>
        </is>
      </c>
      <c r="Z3" s="149" t="inlineStr">
        <is>
          <t>Sep-28</t>
        </is>
      </c>
      <c r="AA3" s="149" t="inlineStr">
        <is>
          <t>Oct-28</t>
        </is>
      </c>
      <c r="AB3" s="149" t="inlineStr">
        <is>
          <t>Nov-28</t>
        </is>
      </c>
      <c r="AC3" s="149" t="inlineStr">
        <is>
          <t>Dec-28</t>
        </is>
      </c>
      <c r="AD3" s="149" t="inlineStr">
        <is>
          <t>Jan-29</t>
        </is>
      </c>
      <c r="AE3" s="149" t="inlineStr">
        <is>
          <t>Feb-29</t>
        </is>
      </c>
      <c r="AF3" s="149" t="inlineStr">
        <is>
          <t>Mar-29</t>
        </is>
      </c>
      <c r="AG3" s="149" t="inlineStr">
        <is>
          <t>Apr-29</t>
        </is>
      </c>
      <c r="AH3" s="149" t="inlineStr">
        <is>
          <t>May-29</t>
        </is>
      </c>
      <c r="AI3" s="149" t="inlineStr">
        <is>
          <t>Jun-29</t>
        </is>
      </c>
      <c r="AJ3" s="149" t="inlineStr">
        <is>
          <t>Jul-29</t>
        </is>
      </c>
      <c r="AK3" s="149" t="inlineStr">
        <is>
          <t>Aug-29</t>
        </is>
      </c>
      <c r="AL3" s="149" t="inlineStr">
        <is>
          <t>Sep-29</t>
        </is>
      </c>
      <c r="AM3" s="149" t="inlineStr">
        <is>
          <t>Oct-29</t>
        </is>
      </c>
      <c r="AN3" s="149" t="inlineStr">
        <is>
          <t>Nov-29</t>
        </is>
      </c>
      <c r="AO3" s="149" t="inlineStr">
        <is>
          <t>Dec-29</t>
        </is>
      </c>
      <c r="AP3" s="149" t="inlineStr">
        <is>
          <t>Jan-30</t>
        </is>
      </c>
      <c r="AQ3" s="149" t="inlineStr">
        <is>
          <t>Feb-30</t>
        </is>
      </c>
      <c r="AR3" s="149" t="inlineStr">
        <is>
          <t>Mar-30</t>
        </is>
      </c>
      <c r="AS3" s="149" t="inlineStr">
        <is>
          <t>Apr-30</t>
        </is>
      </c>
      <c r="AT3" s="149" t="inlineStr">
        <is>
          <t>May-30</t>
        </is>
      </c>
      <c r="AU3" s="149" t="inlineStr">
        <is>
          <t>Jun-30</t>
        </is>
      </c>
      <c r="AV3" s="149" t="inlineStr">
        <is>
          <t>Jul-30</t>
        </is>
      </c>
      <c r="AW3" s="149" t="inlineStr">
        <is>
          <t>Aug-30</t>
        </is>
      </c>
      <c r="AX3" s="149" t="inlineStr">
        <is>
          <t>Sep-30</t>
        </is>
      </c>
      <c r="AY3" s="149" t="inlineStr">
        <is>
          <t>Oct-30</t>
        </is>
      </c>
      <c r="AZ3" s="149" t="inlineStr">
        <is>
          <t>Nov-30</t>
        </is>
      </c>
      <c r="BA3" s="149" t="inlineStr">
        <is>
          <t>Dec-30</t>
        </is>
      </c>
      <c r="BB3" s="149" t="inlineStr">
        <is>
          <t>Jan-31</t>
        </is>
      </c>
      <c r="BC3" s="149" t="inlineStr">
        <is>
          <t>Feb-31</t>
        </is>
      </c>
      <c r="BD3" s="149" t="inlineStr">
        <is>
          <t>Mar-31</t>
        </is>
      </c>
      <c r="BE3" s="149" t="inlineStr">
        <is>
          <t>Apr-31</t>
        </is>
      </c>
      <c r="BF3" s="149" t="inlineStr">
        <is>
          <t>May-31</t>
        </is>
      </c>
      <c r="BG3" s="149" t="inlineStr">
        <is>
          <t>Jun-31</t>
        </is>
      </c>
      <c r="BH3" s="149" t="inlineStr">
        <is>
          <t>Jul-31</t>
        </is>
      </c>
      <c r="BI3" s="149" t="inlineStr">
        <is>
          <t>Aug-31</t>
        </is>
      </c>
      <c r="BJ3" s="149" t="inlineStr">
        <is>
          <t>Sep-31</t>
        </is>
      </c>
      <c r="BL3" s="150" t="inlineStr">
        <is>
          <t>FY1</t>
        </is>
      </c>
      <c r="BM3" s="150" t="inlineStr">
        <is>
          <t>FY2</t>
        </is>
      </c>
      <c r="BN3" s="150" t="inlineStr">
        <is>
          <t>FY3</t>
        </is>
      </c>
      <c r="BO3" s="150" t="inlineStr">
        <is>
          <t>FY4</t>
        </is>
      </c>
      <c r="BP3" s="150" t="inlineStr">
        <is>
          <t>FY5</t>
        </is>
      </c>
    </row>
    <row r="4" ht="15" customHeight="1" s="104">
      <c r="A4" s="213" t="inlineStr">
        <is>
          <t>Active (1=Yes)</t>
        </is>
      </c>
      <c r="C4" s="220">
        <f>IF(Assumptions!B60="",0,IF(IFERROR(DATEVALUE(TEXT(Assumptions!B60,"MM/DD/YYYY")),0)&lt;=DATE(2026,10,31),1,0))</f>
        <v/>
      </c>
      <c r="D4" s="220">
        <f>IF(Assumptions!B60="",0,IF(IFERROR(DATEVALUE(TEXT(Assumptions!B60,"MM/DD/YYYY")),0)&lt;=DATE(2026,11,30),1,0))</f>
        <v/>
      </c>
      <c r="E4" s="220">
        <f>IF(Assumptions!B60="",0,IF(IFERROR(DATEVALUE(TEXT(Assumptions!B60,"MM/DD/YYYY")),0)&lt;=DATE(2026,12,31),1,0))</f>
        <v/>
      </c>
      <c r="F4" s="220">
        <f>IF(Assumptions!B60="",0,IF(IFERROR(DATEVALUE(TEXT(Assumptions!B60,"MM/DD/YYYY")),0)&lt;=DATE(2027,1,31),1,0))</f>
        <v/>
      </c>
      <c r="G4" s="220">
        <f>IF(Assumptions!B60="",0,IF(IFERROR(DATEVALUE(TEXT(Assumptions!B60,"MM/DD/YYYY")),0)&lt;=DATE(2027,2,28),1,0))</f>
        <v/>
      </c>
      <c r="H4" s="220">
        <f>IF(Assumptions!B60="",0,IF(IFERROR(DATEVALUE(TEXT(Assumptions!B60,"MM/DD/YYYY")),0)&lt;=DATE(2027,3,31),1,0))</f>
        <v/>
      </c>
      <c r="I4" s="220">
        <f>IF(Assumptions!B60="",0,IF(IFERROR(DATEVALUE(TEXT(Assumptions!B60,"MM/DD/YYYY")),0)&lt;=DATE(2027,4,30),1,0))</f>
        <v/>
      </c>
      <c r="J4" s="220">
        <f>IF(Assumptions!B60="",0,IF(IFERROR(DATEVALUE(TEXT(Assumptions!B60,"MM/DD/YYYY")),0)&lt;=DATE(2027,5,31),1,0))</f>
        <v/>
      </c>
      <c r="K4" s="220">
        <f>IF(Assumptions!B60="",0,IF(IFERROR(DATEVALUE(TEXT(Assumptions!B60,"MM/DD/YYYY")),0)&lt;=DATE(2027,6,30),1,0))</f>
        <v/>
      </c>
      <c r="L4" s="220">
        <f>IF(Assumptions!B60="",0,IF(IFERROR(DATEVALUE(TEXT(Assumptions!B60,"MM/DD/YYYY")),0)&lt;=DATE(2027,7,31),1,0))</f>
        <v/>
      </c>
      <c r="M4" s="220">
        <f>IF(Assumptions!B60="",0,IF(IFERROR(DATEVALUE(TEXT(Assumptions!B60,"MM/DD/YYYY")),0)&lt;=DATE(2027,8,31),1,0))</f>
        <v/>
      </c>
      <c r="N4" s="220">
        <f>IF(Assumptions!B60="",0,IF(IFERROR(DATEVALUE(TEXT(Assumptions!B60,"MM/DD/YYYY")),0)&lt;=DATE(2027,9,30),1,0))</f>
        <v/>
      </c>
      <c r="O4" s="220">
        <f>IF(Assumptions!B60="",0,IF(IFERROR(DATEVALUE(TEXT(Assumptions!B60,"MM/DD/YYYY")),0)&lt;=DATE(2027,10,31),1,0))</f>
        <v/>
      </c>
      <c r="P4" s="220">
        <f>IF(Assumptions!B60="",0,IF(IFERROR(DATEVALUE(TEXT(Assumptions!B60,"MM/DD/YYYY")),0)&lt;=DATE(2027,11,30),1,0))</f>
        <v/>
      </c>
      <c r="Q4" s="220">
        <f>IF(Assumptions!B60="",0,IF(IFERROR(DATEVALUE(TEXT(Assumptions!B60,"MM/DD/YYYY")),0)&lt;=DATE(2027,12,31),1,0))</f>
        <v/>
      </c>
      <c r="R4" s="220">
        <f>IF(Assumptions!B60="",0,IF(IFERROR(DATEVALUE(TEXT(Assumptions!B60,"MM/DD/YYYY")),0)&lt;=DATE(2028,1,31),1,0))</f>
        <v/>
      </c>
      <c r="S4" s="220">
        <f>IF(Assumptions!B60="",0,IF(IFERROR(DATEVALUE(TEXT(Assumptions!B60,"MM/DD/YYYY")),0)&lt;=DATE(2028,2,29),1,0))</f>
        <v/>
      </c>
      <c r="T4" s="220">
        <f>IF(Assumptions!B60="",0,IF(IFERROR(DATEVALUE(TEXT(Assumptions!B60,"MM/DD/YYYY")),0)&lt;=DATE(2028,3,31),1,0))</f>
        <v/>
      </c>
      <c r="U4" s="220">
        <f>IF(Assumptions!B60="",0,IF(IFERROR(DATEVALUE(TEXT(Assumptions!B60,"MM/DD/YYYY")),0)&lt;=DATE(2028,4,30),1,0))</f>
        <v/>
      </c>
      <c r="V4" s="220">
        <f>IF(Assumptions!B60="",0,IF(IFERROR(DATEVALUE(TEXT(Assumptions!B60,"MM/DD/YYYY")),0)&lt;=DATE(2028,5,31),1,0))</f>
        <v/>
      </c>
      <c r="W4" s="220">
        <f>IF(Assumptions!B60="",0,IF(IFERROR(DATEVALUE(TEXT(Assumptions!B60,"MM/DD/YYYY")),0)&lt;=DATE(2028,6,30),1,0))</f>
        <v/>
      </c>
      <c r="X4" s="220">
        <f>IF(Assumptions!B60="",0,IF(IFERROR(DATEVALUE(TEXT(Assumptions!B60,"MM/DD/YYYY")),0)&lt;=DATE(2028,7,31),1,0))</f>
        <v/>
      </c>
      <c r="Y4" s="220">
        <f>IF(Assumptions!B60="",0,IF(IFERROR(DATEVALUE(TEXT(Assumptions!B60,"MM/DD/YYYY")),0)&lt;=DATE(2028,8,31),1,0))</f>
        <v/>
      </c>
      <c r="Z4" s="220">
        <f>IF(Assumptions!B60="",0,IF(IFERROR(DATEVALUE(TEXT(Assumptions!B60,"MM/DD/YYYY")),0)&lt;=DATE(2028,9,30),1,0))</f>
        <v/>
      </c>
      <c r="AA4" s="220">
        <f>IF(Assumptions!B60="",0,IF(IFERROR(DATEVALUE(TEXT(Assumptions!B60,"MM/DD/YYYY")),0)&lt;=DATE(2028,10,31),1,0))</f>
        <v/>
      </c>
      <c r="AB4" s="220">
        <f>IF(Assumptions!B60="",0,IF(IFERROR(DATEVALUE(TEXT(Assumptions!B60,"MM/DD/YYYY")),0)&lt;=DATE(2028,11,30),1,0))</f>
        <v/>
      </c>
      <c r="AC4" s="220">
        <f>IF(Assumptions!B60="",0,IF(IFERROR(DATEVALUE(TEXT(Assumptions!B60,"MM/DD/YYYY")),0)&lt;=DATE(2028,12,31),1,0))</f>
        <v/>
      </c>
      <c r="AD4" s="220">
        <f>IF(Assumptions!B60="",0,IF(IFERROR(DATEVALUE(TEXT(Assumptions!B60,"MM/DD/YYYY")),0)&lt;=DATE(2029,1,31),1,0))</f>
        <v/>
      </c>
      <c r="AE4" s="220">
        <f>IF(Assumptions!B60="",0,IF(IFERROR(DATEVALUE(TEXT(Assumptions!B60,"MM/DD/YYYY")),0)&lt;=DATE(2029,2,28),1,0))</f>
        <v/>
      </c>
      <c r="AF4" s="220">
        <f>IF(Assumptions!B60="",0,IF(IFERROR(DATEVALUE(TEXT(Assumptions!B60,"MM/DD/YYYY")),0)&lt;=DATE(2029,3,31),1,0))</f>
        <v/>
      </c>
      <c r="AG4" s="220">
        <f>IF(Assumptions!B60="",0,IF(IFERROR(DATEVALUE(TEXT(Assumptions!B60,"MM/DD/YYYY")),0)&lt;=DATE(2029,4,30),1,0))</f>
        <v/>
      </c>
      <c r="AH4" s="220">
        <f>IF(Assumptions!B60="",0,IF(IFERROR(DATEVALUE(TEXT(Assumptions!B60,"MM/DD/YYYY")),0)&lt;=DATE(2029,5,31),1,0))</f>
        <v/>
      </c>
      <c r="AI4" s="220">
        <f>IF(Assumptions!B60="",0,IF(IFERROR(DATEVALUE(TEXT(Assumptions!B60,"MM/DD/YYYY")),0)&lt;=DATE(2029,6,30),1,0))</f>
        <v/>
      </c>
      <c r="AJ4" s="220">
        <f>IF(Assumptions!B60="",0,IF(IFERROR(DATEVALUE(TEXT(Assumptions!B60,"MM/DD/YYYY")),0)&lt;=DATE(2029,7,31),1,0))</f>
        <v/>
      </c>
      <c r="AK4" s="220">
        <f>IF(Assumptions!B60="",0,IF(IFERROR(DATEVALUE(TEXT(Assumptions!B60,"MM/DD/YYYY")),0)&lt;=DATE(2029,8,31),1,0))</f>
        <v/>
      </c>
      <c r="AL4" s="220">
        <f>IF(Assumptions!B60="",0,IF(IFERROR(DATEVALUE(TEXT(Assumptions!B60,"MM/DD/YYYY")),0)&lt;=DATE(2029,9,30),1,0))</f>
        <v/>
      </c>
      <c r="AM4" s="220">
        <f>IF(Assumptions!B60="",0,IF(IFERROR(DATEVALUE(TEXT(Assumptions!B60,"MM/DD/YYYY")),0)&lt;=DATE(2029,10,31),1,0))</f>
        <v/>
      </c>
      <c r="AN4" s="220">
        <f>IF(Assumptions!B60="",0,IF(IFERROR(DATEVALUE(TEXT(Assumptions!B60,"MM/DD/YYYY")),0)&lt;=DATE(2029,11,30),1,0))</f>
        <v/>
      </c>
      <c r="AO4" s="220">
        <f>IF(Assumptions!B60="",0,IF(IFERROR(DATEVALUE(TEXT(Assumptions!B60,"MM/DD/YYYY")),0)&lt;=DATE(2029,12,31),1,0))</f>
        <v/>
      </c>
      <c r="AP4" s="220">
        <f>IF(Assumptions!B60="",0,IF(IFERROR(DATEVALUE(TEXT(Assumptions!B60,"MM/DD/YYYY")),0)&lt;=DATE(2030,1,31),1,0))</f>
        <v/>
      </c>
      <c r="AQ4" s="220">
        <f>IF(Assumptions!B60="",0,IF(IFERROR(DATEVALUE(TEXT(Assumptions!B60,"MM/DD/YYYY")),0)&lt;=DATE(2030,2,28),1,0))</f>
        <v/>
      </c>
      <c r="AR4" s="220">
        <f>IF(Assumptions!B60="",0,IF(IFERROR(DATEVALUE(TEXT(Assumptions!B60,"MM/DD/YYYY")),0)&lt;=DATE(2030,3,31),1,0))</f>
        <v/>
      </c>
      <c r="AS4" s="220">
        <f>IF(Assumptions!B60="",0,IF(IFERROR(DATEVALUE(TEXT(Assumptions!B60,"MM/DD/YYYY")),0)&lt;=DATE(2030,4,30),1,0))</f>
        <v/>
      </c>
      <c r="AT4" s="220">
        <f>IF(Assumptions!B60="",0,IF(IFERROR(DATEVALUE(TEXT(Assumptions!B60,"MM/DD/YYYY")),0)&lt;=DATE(2030,5,31),1,0))</f>
        <v/>
      </c>
      <c r="AU4" s="220">
        <f>IF(Assumptions!B60="",0,IF(IFERROR(DATEVALUE(TEXT(Assumptions!B60,"MM/DD/YYYY")),0)&lt;=DATE(2030,6,30),1,0))</f>
        <v/>
      </c>
      <c r="AV4" s="220">
        <f>IF(Assumptions!B60="",0,IF(IFERROR(DATEVALUE(TEXT(Assumptions!B60,"MM/DD/YYYY")),0)&lt;=DATE(2030,7,31),1,0))</f>
        <v/>
      </c>
      <c r="AW4" s="220">
        <f>IF(Assumptions!B60="",0,IF(IFERROR(DATEVALUE(TEXT(Assumptions!B60,"MM/DD/YYYY")),0)&lt;=DATE(2030,8,31),1,0))</f>
        <v/>
      </c>
      <c r="AX4" s="220">
        <f>IF(Assumptions!B60="",0,IF(IFERROR(DATEVALUE(TEXT(Assumptions!B60,"MM/DD/YYYY")),0)&lt;=DATE(2030,9,30),1,0))</f>
        <v/>
      </c>
      <c r="AY4" s="220">
        <f>IF(Assumptions!B60="",0,IF(IFERROR(DATEVALUE(TEXT(Assumptions!B60,"MM/DD/YYYY")),0)&lt;=DATE(2030,10,31),1,0))</f>
        <v/>
      </c>
      <c r="AZ4" s="220">
        <f>IF(Assumptions!B60="",0,IF(IFERROR(DATEVALUE(TEXT(Assumptions!B60,"MM/DD/YYYY")),0)&lt;=DATE(2030,11,30),1,0))</f>
        <v/>
      </c>
      <c r="BA4" s="220">
        <f>IF(Assumptions!B60="",0,IF(IFERROR(DATEVALUE(TEXT(Assumptions!B60,"MM/DD/YYYY")),0)&lt;=DATE(2030,12,31),1,0))</f>
        <v/>
      </c>
      <c r="BB4" s="220">
        <f>IF(Assumptions!B60="",0,IF(IFERROR(DATEVALUE(TEXT(Assumptions!B60,"MM/DD/YYYY")),0)&lt;=DATE(2031,1,31),1,0))</f>
        <v/>
      </c>
      <c r="BC4" s="220">
        <f>IF(Assumptions!B60="",0,IF(IFERROR(DATEVALUE(TEXT(Assumptions!B60,"MM/DD/YYYY")),0)&lt;=DATE(2031,2,28),1,0))</f>
        <v/>
      </c>
      <c r="BD4" s="220">
        <f>IF(Assumptions!B60="",0,IF(IFERROR(DATEVALUE(TEXT(Assumptions!B60,"MM/DD/YYYY")),0)&lt;=DATE(2031,3,31),1,0))</f>
        <v/>
      </c>
      <c r="BE4" s="220">
        <f>IF(Assumptions!B60="",0,IF(IFERROR(DATEVALUE(TEXT(Assumptions!B60,"MM/DD/YYYY")),0)&lt;=DATE(2031,4,30),1,0))</f>
        <v/>
      </c>
      <c r="BF4" s="220">
        <f>IF(Assumptions!B60="",0,IF(IFERROR(DATEVALUE(TEXT(Assumptions!B60,"MM/DD/YYYY")),0)&lt;=DATE(2031,5,31),1,0))</f>
        <v/>
      </c>
      <c r="BG4" s="220">
        <f>IF(Assumptions!B60="",0,IF(IFERROR(DATEVALUE(TEXT(Assumptions!B60,"MM/DD/YYYY")),0)&lt;=DATE(2031,6,30),1,0))</f>
        <v/>
      </c>
      <c r="BH4" s="220">
        <f>IF(Assumptions!B60="",0,IF(IFERROR(DATEVALUE(TEXT(Assumptions!B60,"MM/DD/YYYY")),0)&lt;=DATE(2031,7,31),1,0))</f>
        <v/>
      </c>
      <c r="BI4" s="220">
        <f>IF(Assumptions!B60="",0,IF(IFERROR(DATEVALUE(TEXT(Assumptions!B60,"MM/DD/YYYY")),0)&lt;=DATE(2031,8,31),1,0))</f>
        <v/>
      </c>
      <c r="BJ4" s="220">
        <f>IF(Assumptions!B60="",0,IF(IFERROR(DATEVALUE(TEXT(Assumptions!B60,"MM/DD/YYYY")),0)&lt;=DATE(2031,9,30),1,0))</f>
        <v/>
      </c>
    </row>
    <row r="5" ht="15" customHeight="1" s="104">
      <c r="A5" s="106" t="inlineStr">
        <is>
          <t>REVENUE</t>
        </is>
      </c>
    </row>
    <row r="6" ht="15" customHeight="1" s="104">
      <c r="A6" s="116" t="inlineStr">
        <is>
          <t>Monthly Revenue</t>
        </is>
      </c>
      <c r="C6" s="151">
        <f>IF(C4=0,0,(Assumptions!C60/12))</f>
        <v/>
      </c>
      <c r="D6" s="151">
        <f>IF(D4=0,0,(Assumptions!C60/12)*POWER(1+Assumptions!B17,1/12))</f>
        <v/>
      </c>
      <c r="E6" s="151">
        <f>IF(E4=0,0,(Assumptions!C60/12)*POWER(1+Assumptions!B17,2/12))</f>
        <v/>
      </c>
      <c r="F6" s="151">
        <f>IF(F4=0,0,(Assumptions!C60/12)*POWER(1+Assumptions!B17,3/12))</f>
        <v/>
      </c>
      <c r="G6" s="151">
        <f>IF(G4=0,0,(Assumptions!C60/12)*POWER(1+Assumptions!B17,4/12))</f>
        <v/>
      </c>
      <c r="H6" s="151">
        <f>IF(H4=0,0,(Assumptions!C60/12)*POWER(1+Assumptions!B17,5/12))</f>
        <v/>
      </c>
      <c r="I6" s="151">
        <f>IF(I4=0,0,(Assumptions!C60/12)*POWER(1+Assumptions!B17,6/12))</f>
        <v/>
      </c>
      <c r="J6" s="151">
        <f>IF(J4=0,0,(Assumptions!C60/12)*POWER(1+Assumptions!B17,7/12))</f>
        <v/>
      </c>
      <c r="K6" s="151">
        <f>IF(K4=0,0,(Assumptions!C60/12)*POWER(1+Assumptions!B17,8/12))</f>
        <v/>
      </c>
      <c r="L6" s="151">
        <f>IF(L4=0,0,(Assumptions!C60/12)*POWER(1+Assumptions!B17,9/12))</f>
        <v/>
      </c>
      <c r="M6" s="151">
        <f>IF(M4=0,0,(Assumptions!C60/12)*POWER(1+Assumptions!B17,10/12))</f>
        <v/>
      </c>
      <c r="N6" s="151">
        <f>IF(N4=0,0,(Assumptions!C60/12)*POWER(1+Assumptions!B17,11/12))</f>
        <v/>
      </c>
      <c r="O6" s="151">
        <f>IF(O4=0,0,(Assumptions!C60*(1+Assumptions!B17)/12))</f>
        <v/>
      </c>
      <c r="P6" s="151">
        <f>IF(P4=0,0,(Assumptions!C60*(1+Assumptions!B17)/12)*POWER(1+Assumptions!B18,1/12))</f>
        <v/>
      </c>
      <c r="Q6" s="151">
        <f>IF(Q4=0,0,(Assumptions!C60*(1+Assumptions!B17)/12)*POWER(1+Assumptions!B18,2/12))</f>
        <v/>
      </c>
      <c r="R6" s="151">
        <f>IF(R4=0,0,(Assumptions!C60*(1+Assumptions!B17)/12)*POWER(1+Assumptions!B18,3/12))</f>
        <v/>
      </c>
      <c r="S6" s="151">
        <f>IF(S4=0,0,(Assumptions!C60*(1+Assumptions!B17)/12)*POWER(1+Assumptions!B18,4/12))</f>
        <v/>
      </c>
      <c r="T6" s="151">
        <f>IF(T4=0,0,(Assumptions!C60*(1+Assumptions!B17)/12)*POWER(1+Assumptions!B18,5/12))</f>
        <v/>
      </c>
      <c r="U6" s="151">
        <f>IF(U4=0,0,(Assumptions!C60*(1+Assumptions!B17)/12)*POWER(1+Assumptions!B18,6/12))</f>
        <v/>
      </c>
      <c r="V6" s="151">
        <f>IF(V4=0,0,(Assumptions!C60*(1+Assumptions!B17)/12)*POWER(1+Assumptions!B18,7/12))</f>
        <v/>
      </c>
      <c r="W6" s="151">
        <f>IF(W4=0,0,(Assumptions!C60*(1+Assumptions!B17)/12)*POWER(1+Assumptions!B18,8/12))</f>
        <v/>
      </c>
      <c r="X6" s="151">
        <f>IF(X4=0,0,(Assumptions!C60*(1+Assumptions!B17)/12)*POWER(1+Assumptions!B18,9/12))</f>
        <v/>
      </c>
      <c r="Y6" s="151">
        <f>IF(Y4=0,0,(Assumptions!C60*(1+Assumptions!B17)/12)*POWER(1+Assumptions!B18,10/12))</f>
        <v/>
      </c>
      <c r="Z6" s="151">
        <f>IF(Z4=0,0,(Assumptions!C60*(1+Assumptions!B17)/12)*POWER(1+Assumptions!B18,11/12))</f>
        <v/>
      </c>
      <c r="AA6" s="151">
        <f>IF(AA4=0,0,(Assumptions!C60*(1+Assumptions!B17)*(1+Assumptions!B18)/12))</f>
        <v/>
      </c>
      <c r="AB6" s="151">
        <f>IF(AB4=0,0,(Assumptions!C60*(1+Assumptions!B17)*(1+Assumptions!B18)/12)*POWER(1+Assumptions!B19,1/12))</f>
        <v/>
      </c>
      <c r="AC6" s="151">
        <f>IF(AC4=0,0,(Assumptions!C60*(1+Assumptions!B17)*(1+Assumptions!B18)/12)*POWER(1+Assumptions!B19,2/12))</f>
        <v/>
      </c>
      <c r="AD6" s="151">
        <f>IF(AD4=0,0,(Assumptions!C60*(1+Assumptions!B17)*(1+Assumptions!B18)/12)*POWER(1+Assumptions!B19,3/12))</f>
        <v/>
      </c>
      <c r="AE6" s="151">
        <f>IF(AE4=0,0,(Assumptions!C60*(1+Assumptions!B17)*(1+Assumptions!B18)/12)*POWER(1+Assumptions!B19,4/12))</f>
        <v/>
      </c>
      <c r="AF6" s="151">
        <f>IF(AF4=0,0,(Assumptions!C60*(1+Assumptions!B17)*(1+Assumptions!B18)/12)*POWER(1+Assumptions!B19,5/12))</f>
        <v/>
      </c>
      <c r="AG6" s="151">
        <f>IF(AG4=0,0,(Assumptions!C60*(1+Assumptions!B17)*(1+Assumptions!B18)/12)*POWER(1+Assumptions!B19,6/12))</f>
        <v/>
      </c>
      <c r="AH6" s="151">
        <f>IF(AH4=0,0,(Assumptions!C60*(1+Assumptions!B17)*(1+Assumptions!B18)/12)*POWER(1+Assumptions!B19,7/12))</f>
        <v/>
      </c>
      <c r="AI6" s="151">
        <f>IF(AI4=0,0,(Assumptions!C60*(1+Assumptions!B17)*(1+Assumptions!B18)/12)*POWER(1+Assumptions!B19,8/12))</f>
        <v/>
      </c>
      <c r="AJ6" s="151">
        <f>IF(AJ4=0,0,(Assumptions!C60*(1+Assumptions!B17)*(1+Assumptions!B18)/12)*POWER(1+Assumptions!B19,9/12))</f>
        <v/>
      </c>
      <c r="AK6" s="151">
        <f>IF(AK4=0,0,(Assumptions!C60*(1+Assumptions!B17)*(1+Assumptions!B18)/12)*POWER(1+Assumptions!B19,10/12))</f>
        <v/>
      </c>
      <c r="AL6" s="151">
        <f>IF(AL4=0,0,(Assumptions!C60*(1+Assumptions!B17)*(1+Assumptions!B18)/12)*POWER(1+Assumptions!B19,11/12))</f>
        <v/>
      </c>
      <c r="AM6" s="151">
        <f>IF(AM4=0,0,(Assumptions!C60*(1+Assumptions!B17)*(1+Assumptions!B18)*(1+Assumptions!B19)/12))</f>
        <v/>
      </c>
      <c r="AN6" s="151">
        <f>IF(AN4=0,0,(Assumptions!C60*(1+Assumptions!B17)*(1+Assumptions!B18)*(1+Assumptions!B19)/12)*POWER(1+Assumptions!B20,1/12))</f>
        <v/>
      </c>
      <c r="AO6" s="151">
        <f>IF(AO4=0,0,(Assumptions!C60*(1+Assumptions!B17)*(1+Assumptions!B18)*(1+Assumptions!B19)/12)*POWER(1+Assumptions!B20,2/12))</f>
        <v/>
      </c>
      <c r="AP6" s="151">
        <f>IF(AP4=0,0,(Assumptions!C60*(1+Assumptions!B17)*(1+Assumptions!B18)*(1+Assumptions!B19)/12)*POWER(1+Assumptions!B20,3/12))</f>
        <v/>
      </c>
      <c r="AQ6" s="151">
        <f>IF(AQ4=0,0,(Assumptions!C60*(1+Assumptions!B17)*(1+Assumptions!B18)*(1+Assumptions!B19)/12)*POWER(1+Assumptions!B20,4/12))</f>
        <v/>
      </c>
      <c r="AR6" s="151">
        <f>IF(AR4=0,0,(Assumptions!C60*(1+Assumptions!B17)*(1+Assumptions!B18)*(1+Assumptions!B19)/12)*POWER(1+Assumptions!B20,5/12))</f>
        <v/>
      </c>
      <c r="AS6" s="151">
        <f>IF(AS4=0,0,(Assumptions!C60*(1+Assumptions!B17)*(1+Assumptions!B18)*(1+Assumptions!B19)/12)*POWER(1+Assumptions!B20,6/12))</f>
        <v/>
      </c>
      <c r="AT6" s="151">
        <f>IF(AT4=0,0,(Assumptions!C60*(1+Assumptions!B17)*(1+Assumptions!B18)*(1+Assumptions!B19)/12)*POWER(1+Assumptions!B20,7/12))</f>
        <v/>
      </c>
      <c r="AU6" s="151">
        <f>IF(AU4=0,0,(Assumptions!C60*(1+Assumptions!B17)*(1+Assumptions!B18)*(1+Assumptions!B19)/12)*POWER(1+Assumptions!B20,8/12))</f>
        <v/>
      </c>
      <c r="AV6" s="151">
        <f>IF(AV4=0,0,(Assumptions!C60*(1+Assumptions!B17)*(1+Assumptions!B18)*(1+Assumptions!B19)/12)*POWER(1+Assumptions!B20,9/12))</f>
        <v/>
      </c>
      <c r="AW6" s="151">
        <f>IF(AW4=0,0,(Assumptions!C60*(1+Assumptions!B17)*(1+Assumptions!B18)*(1+Assumptions!B19)/12)*POWER(1+Assumptions!B20,10/12))</f>
        <v/>
      </c>
      <c r="AX6" s="151">
        <f>IF(AX4=0,0,(Assumptions!C60*(1+Assumptions!B17)*(1+Assumptions!B18)*(1+Assumptions!B19)/12)*POWER(1+Assumptions!B20,11/12))</f>
        <v/>
      </c>
      <c r="AY6" s="151">
        <f>IF(AY4=0,0,(Assumptions!C60*(1+Assumptions!B17)*(1+Assumptions!B18)*(1+Assumptions!B19)*(1+Assumptions!B20)/12))</f>
        <v/>
      </c>
      <c r="AZ6" s="151">
        <f>IF(AZ4=0,0,(Assumptions!C60*(1+Assumptions!B17)*(1+Assumptions!B18)*(1+Assumptions!B19)*(1+Assumptions!B20)/12)*POWER(1+Assumptions!B21,1/12))</f>
        <v/>
      </c>
      <c r="BA6" s="151">
        <f>IF(BA4=0,0,(Assumptions!C60*(1+Assumptions!B17)*(1+Assumptions!B18)*(1+Assumptions!B19)*(1+Assumptions!B20)/12)*POWER(1+Assumptions!B21,2/12))</f>
        <v/>
      </c>
      <c r="BB6" s="151">
        <f>IF(BB4=0,0,(Assumptions!C60*(1+Assumptions!B17)*(1+Assumptions!B18)*(1+Assumptions!B19)*(1+Assumptions!B20)/12)*POWER(1+Assumptions!B21,3/12))</f>
        <v/>
      </c>
      <c r="BC6" s="151">
        <f>IF(BC4=0,0,(Assumptions!C60*(1+Assumptions!B17)*(1+Assumptions!B18)*(1+Assumptions!B19)*(1+Assumptions!B20)/12)*POWER(1+Assumptions!B21,4/12))</f>
        <v/>
      </c>
      <c r="BD6" s="151">
        <f>IF(BD4=0,0,(Assumptions!C60*(1+Assumptions!B17)*(1+Assumptions!B18)*(1+Assumptions!B19)*(1+Assumptions!B20)/12)*POWER(1+Assumptions!B21,5/12))</f>
        <v/>
      </c>
      <c r="BE6" s="151">
        <f>IF(BE4=0,0,(Assumptions!C60*(1+Assumptions!B17)*(1+Assumptions!B18)*(1+Assumptions!B19)*(1+Assumptions!B20)/12)*POWER(1+Assumptions!B21,6/12))</f>
        <v/>
      </c>
      <c r="BF6" s="151">
        <f>IF(BF4=0,0,(Assumptions!C60*(1+Assumptions!B17)*(1+Assumptions!B18)*(1+Assumptions!B19)*(1+Assumptions!B20)/12)*POWER(1+Assumptions!B21,7/12))</f>
        <v/>
      </c>
      <c r="BG6" s="151">
        <f>IF(BG4=0,0,(Assumptions!C60*(1+Assumptions!B17)*(1+Assumptions!B18)*(1+Assumptions!B19)*(1+Assumptions!B20)/12)*POWER(1+Assumptions!B21,8/12))</f>
        <v/>
      </c>
      <c r="BH6" s="151">
        <f>IF(BH4=0,0,(Assumptions!C60*(1+Assumptions!B17)*(1+Assumptions!B18)*(1+Assumptions!B19)*(1+Assumptions!B20)/12)*POWER(1+Assumptions!B21,9/12))</f>
        <v/>
      </c>
      <c r="BI6" s="151">
        <f>IF(BI4=0,0,(Assumptions!C60*(1+Assumptions!B17)*(1+Assumptions!B18)*(1+Assumptions!B19)*(1+Assumptions!B20)/12)*POWER(1+Assumptions!B21,10/12))</f>
        <v/>
      </c>
      <c r="BJ6" s="151">
        <f>IF(BJ4=0,0,(Assumptions!C60*(1+Assumptions!B17)*(1+Assumptions!B18)*(1+Assumptions!B19)*(1+Assumptions!B20)/12)*POWER(1+Assumptions!B21,11/12))</f>
        <v/>
      </c>
      <c r="BL6" s="152">
        <f>C6+D6+E6+F6+G6+H6+I6+J6+K6+L6+M6+N6</f>
        <v/>
      </c>
      <c r="BM6" s="152">
        <f>O6+P6+Q6+R6+S6+T6+U6+V6+W6+X6+Y6+Z6</f>
        <v/>
      </c>
      <c r="BN6" s="152">
        <f>AA6+AB6+AC6+AD6+AE6+AF6+AG6+AH6+AI6+AJ6+AK6+AL6</f>
        <v/>
      </c>
      <c r="BO6" s="152">
        <f>AM6+AN6+AO6+AP6+AQ6+AR6+AS6+AT6+AU6+AV6+AW6+AX6</f>
        <v/>
      </c>
      <c r="BP6" s="152">
        <f>AY6+AZ6+BA6+BB6+BC6+BD6+BE6+BF6+BG6+BH6+BI6+BJ6</f>
        <v/>
      </c>
    </row>
    <row r="7" ht="15" customHeight="1" s="104">
      <c r="A7" s="106" t="inlineStr">
        <is>
          <t>OPERATING EXPENSES</t>
        </is>
      </c>
    </row>
    <row r="8" ht="15" customHeight="1" s="104">
      <c r="A8" s="107" t="inlineStr">
        <is>
          <t>Attorney Compensation</t>
        </is>
      </c>
      <c r="C8" s="156">
        <f>C6*(Assumptions!B24+Assumptions!B25*0)</f>
        <v/>
      </c>
      <c r="D8" s="156">
        <f>D6*(Assumptions!B24+Assumptions!B25*0)</f>
        <v/>
      </c>
      <c r="E8" s="156">
        <f>E6*(Assumptions!B24+Assumptions!B25*0)</f>
        <v/>
      </c>
      <c r="F8" s="156">
        <f>F6*(Assumptions!B24+Assumptions!B25*0)</f>
        <v/>
      </c>
      <c r="G8" s="156">
        <f>G6*(Assumptions!B24+Assumptions!B25*0)</f>
        <v/>
      </c>
      <c r="H8" s="156">
        <f>H6*(Assumptions!B24+Assumptions!B25*0)</f>
        <v/>
      </c>
      <c r="I8" s="156">
        <f>I6*(Assumptions!B24+Assumptions!B25*0)</f>
        <v/>
      </c>
      <c r="J8" s="156">
        <f>J6*(Assumptions!B24+Assumptions!B25*0)</f>
        <v/>
      </c>
      <c r="K8" s="156">
        <f>K6*(Assumptions!B24+Assumptions!B25*0)</f>
        <v/>
      </c>
      <c r="L8" s="156">
        <f>L6*(Assumptions!B24+Assumptions!B25*0)</f>
        <v/>
      </c>
      <c r="M8" s="156">
        <f>M6*(Assumptions!B24+Assumptions!B25*0)</f>
        <v/>
      </c>
      <c r="N8" s="156">
        <f>N6*(Assumptions!B24+Assumptions!B25*0)</f>
        <v/>
      </c>
      <c r="O8" s="156">
        <f>O6*(Assumptions!B24+Assumptions!B25*1)</f>
        <v/>
      </c>
      <c r="P8" s="156">
        <f>P6*(Assumptions!B24+Assumptions!B25*1)</f>
        <v/>
      </c>
      <c r="Q8" s="156">
        <f>Q6*(Assumptions!B24+Assumptions!B25*1)</f>
        <v/>
      </c>
      <c r="R8" s="156">
        <f>R6*(Assumptions!B24+Assumptions!B25*1)</f>
        <v/>
      </c>
      <c r="S8" s="156">
        <f>S6*(Assumptions!B24+Assumptions!B25*1)</f>
        <v/>
      </c>
      <c r="T8" s="156">
        <f>T6*(Assumptions!B24+Assumptions!B25*1)</f>
        <v/>
      </c>
      <c r="U8" s="156">
        <f>U6*(Assumptions!B24+Assumptions!B25*1)</f>
        <v/>
      </c>
      <c r="V8" s="156">
        <f>V6*(Assumptions!B24+Assumptions!B25*1)</f>
        <v/>
      </c>
      <c r="W8" s="156">
        <f>W6*(Assumptions!B24+Assumptions!B25*1)</f>
        <v/>
      </c>
      <c r="X8" s="156">
        <f>X6*(Assumptions!B24+Assumptions!B25*1)</f>
        <v/>
      </c>
      <c r="Y8" s="156">
        <f>Y6*(Assumptions!B24+Assumptions!B25*1)</f>
        <v/>
      </c>
      <c r="Z8" s="156">
        <f>Z6*(Assumptions!B24+Assumptions!B25*1)</f>
        <v/>
      </c>
      <c r="AA8" s="156">
        <f>AA6*(Assumptions!B24+Assumptions!B25*2)</f>
        <v/>
      </c>
      <c r="AB8" s="156">
        <f>AB6*(Assumptions!B24+Assumptions!B25*2)</f>
        <v/>
      </c>
      <c r="AC8" s="156">
        <f>AC6*(Assumptions!B24+Assumptions!B25*2)</f>
        <v/>
      </c>
      <c r="AD8" s="156">
        <f>AD6*(Assumptions!B24+Assumptions!B25*2)</f>
        <v/>
      </c>
      <c r="AE8" s="156">
        <f>AE6*(Assumptions!B24+Assumptions!B25*2)</f>
        <v/>
      </c>
      <c r="AF8" s="156">
        <f>AF6*(Assumptions!B24+Assumptions!B25*2)</f>
        <v/>
      </c>
      <c r="AG8" s="156">
        <f>AG6*(Assumptions!B24+Assumptions!B25*2)</f>
        <v/>
      </c>
      <c r="AH8" s="156">
        <f>AH6*(Assumptions!B24+Assumptions!B25*2)</f>
        <v/>
      </c>
      <c r="AI8" s="156">
        <f>AI6*(Assumptions!B24+Assumptions!B25*2)</f>
        <v/>
      </c>
      <c r="AJ8" s="156">
        <f>AJ6*(Assumptions!B24+Assumptions!B25*2)</f>
        <v/>
      </c>
      <c r="AK8" s="156">
        <f>AK6*(Assumptions!B24+Assumptions!B25*2)</f>
        <v/>
      </c>
      <c r="AL8" s="156">
        <f>AL6*(Assumptions!B24+Assumptions!B25*2)</f>
        <v/>
      </c>
      <c r="AM8" s="156">
        <f>AM6*(Assumptions!B24+Assumptions!B25*3)</f>
        <v/>
      </c>
      <c r="AN8" s="156">
        <f>AN6*(Assumptions!B24+Assumptions!B25*3)</f>
        <v/>
      </c>
      <c r="AO8" s="156">
        <f>AO6*(Assumptions!B24+Assumptions!B25*3)</f>
        <v/>
      </c>
      <c r="AP8" s="156">
        <f>AP6*(Assumptions!B24+Assumptions!B25*3)</f>
        <v/>
      </c>
      <c r="AQ8" s="156">
        <f>AQ6*(Assumptions!B24+Assumptions!B25*3)</f>
        <v/>
      </c>
      <c r="AR8" s="156">
        <f>AR6*(Assumptions!B24+Assumptions!B25*3)</f>
        <v/>
      </c>
      <c r="AS8" s="156">
        <f>AS6*(Assumptions!B24+Assumptions!B25*3)</f>
        <v/>
      </c>
      <c r="AT8" s="156">
        <f>AT6*(Assumptions!B24+Assumptions!B25*3)</f>
        <v/>
      </c>
      <c r="AU8" s="156">
        <f>AU6*(Assumptions!B24+Assumptions!B25*3)</f>
        <v/>
      </c>
      <c r="AV8" s="156">
        <f>AV6*(Assumptions!B24+Assumptions!B25*3)</f>
        <v/>
      </c>
      <c r="AW8" s="156">
        <f>AW6*(Assumptions!B24+Assumptions!B25*3)</f>
        <v/>
      </c>
      <c r="AX8" s="156">
        <f>AX6*(Assumptions!B24+Assumptions!B25*3)</f>
        <v/>
      </c>
      <c r="AY8" s="156">
        <f>AY6*(Assumptions!B24+Assumptions!B25*4)</f>
        <v/>
      </c>
      <c r="AZ8" s="156">
        <f>AZ6*(Assumptions!B24+Assumptions!B25*4)</f>
        <v/>
      </c>
      <c r="BA8" s="156">
        <f>BA6*(Assumptions!B24+Assumptions!B25*4)</f>
        <v/>
      </c>
      <c r="BB8" s="156">
        <f>BB6*(Assumptions!B24+Assumptions!B25*4)</f>
        <v/>
      </c>
      <c r="BC8" s="156">
        <f>BC6*(Assumptions!B24+Assumptions!B25*4)</f>
        <v/>
      </c>
      <c r="BD8" s="156">
        <f>BD6*(Assumptions!B24+Assumptions!B25*4)</f>
        <v/>
      </c>
      <c r="BE8" s="156">
        <f>BE6*(Assumptions!B24+Assumptions!B25*4)</f>
        <v/>
      </c>
      <c r="BF8" s="156">
        <f>BF6*(Assumptions!B24+Assumptions!B25*4)</f>
        <v/>
      </c>
      <c r="BG8" s="156">
        <f>BG6*(Assumptions!B24+Assumptions!B25*4)</f>
        <v/>
      </c>
      <c r="BH8" s="156">
        <f>BH6*(Assumptions!B24+Assumptions!B25*4)</f>
        <v/>
      </c>
      <c r="BI8" s="156">
        <f>BI6*(Assumptions!B24+Assumptions!B25*4)</f>
        <v/>
      </c>
      <c r="BJ8" s="156">
        <f>BJ6*(Assumptions!B24+Assumptions!B25*4)</f>
        <v/>
      </c>
      <c r="BL8" s="157">
        <f>C8+D8+E8+F8+G8+H8+I8+J8+K8+L8+M8+N8</f>
        <v/>
      </c>
      <c r="BM8" s="157">
        <f>O8+P8+Q8+R8+S8+T8+U8+V8+W8+X8+Y8+Z8</f>
        <v/>
      </c>
      <c r="BN8" s="157">
        <f>AA8+AB8+AC8+AD8+AE8+AF8+AG8+AH8+AI8+AJ8+AK8+AL8</f>
        <v/>
      </c>
      <c r="BO8" s="157">
        <f>AM8+AN8+AO8+AP8+AQ8+AR8+AS8+AT8+AU8+AV8+AW8+AX8</f>
        <v/>
      </c>
      <c r="BP8" s="157">
        <f>AY8+AZ8+BA8+BB8+BC8+BD8+BE8+BF8+BG8+BH8+BI8+BJ8</f>
        <v/>
      </c>
    </row>
    <row r="9" ht="15" customHeight="1" s="104">
      <c r="A9" s="215" t="inlineStr">
        <is>
          <t xml:space="preserve">    % of Revenue</t>
        </is>
      </c>
      <c r="C9" s="216">
        <f>IF(C6=0,0,C8/C6)</f>
        <v/>
      </c>
      <c r="D9" s="216">
        <f>IF(D6=0,0,D8/D6)</f>
        <v/>
      </c>
      <c r="E9" s="216">
        <f>IF(E6=0,0,E8/E6)</f>
        <v/>
      </c>
      <c r="F9" s="216">
        <f>IF(F6=0,0,F8/F6)</f>
        <v/>
      </c>
      <c r="G9" s="216">
        <f>IF(G6=0,0,G8/G6)</f>
        <v/>
      </c>
      <c r="H9" s="216">
        <f>IF(H6=0,0,H8/H6)</f>
        <v/>
      </c>
      <c r="I9" s="216">
        <f>IF(I6=0,0,I8/I6)</f>
        <v/>
      </c>
      <c r="J9" s="216">
        <f>IF(J6=0,0,J8/J6)</f>
        <v/>
      </c>
      <c r="K9" s="216">
        <f>IF(K6=0,0,K8/K6)</f>
        <v/>
      </c>
      <c r="L9" s="216">
        <f>IF(L6=0,0,L8/L6)</f>
        <v/>
      </c>
      <c r="M9" s="216">
        <f>IF(M6=0,0,M8/M6)</f>
        <v/>
      </c>
      <c r="N9" s="216">
        <f>IF(N6=0,0,N8/N6)</f>
        <v/>
      </c>
      <c r="O9" s="216">
        <f>IF(O6=0,0,O8/O6)</f>
        <v/>
      </c>
      <c r="P9" s="216">
        <f>IF(P6=0,0,P8/P6)</f>
        <v/>
      </c>
      <c r="Q9" s="216">
        <f>IF(Q6=0,0,Q8/Q6)</f>
        <v/>
      </c>
      <c r="R9" s="216">
        <f>IF(R6=0,0,R8/R6)</f>
        <v/>
      </c>
      <c r="S9" s="216">
        <f>IF(S6=0,0,S8/S6)</f>
        <v/>
      </c>
      <c r="T9" s="216">
        <f>IF(T6=0,0,T8/T6)</f>
        <v/>
      </c>
      <c r="U9" s="216">
        <f>IF(U6=0,0,U8/U6)</f>
        <v/>
      </c>
      <c r="V9" s="216">
        <f>IF(V6=0,0,V8/V6)</f>
        <v/>
      </c>
      <c r="W9" s="216">
        <f>IF(W6=0,0,W8/W6)</f>
        <v/>
      </c>
      <c r="X9" s="216">
        <f>IF(X6=0,0,X8/X6)</f>
        <v/>
      </c>
      <c r="Y9" s="216">
        <f>IF(Y6=0,0,Y8/Y6)</f>
        <v/>
      </c>
      <c r="Z9" s="216">
        <f>IF(Z6=0,0,Z8/Z6)</f>
        <v/>
      </c>
      <c r="AA9" s="216">
        <f>IF(AA6=0,0,AA8/AA6)</f>
        <v/>
      </c>
      <c r="AB9" s="216">
        <f>IF(AB6=0,0,AB8/AB6)</f>
        <v/>
      </c>
      <c r="AC9" s="216">
        <f>IF(AC6=0,0,AC8/AC6)</f>
        <v/>
      </c>
      <c r="AD9" s="216">
        <f>IF(AD6=0,0,AD8/AD6)</f>
        <v/>
      </c>
      <c r="AE9" s="216">
        <f>IF(AE6=0,0,AE8/AE6)</f>
        <v/>
      </c>
      <c r="AF9" s="216">
        <f>IF(AF6=0,0,AF8/AF6)</f>
        <v/>
      </c>
      <c r="AG9" s="216">
        <f>IF(AG6=0,0,AG8/AG6)</f>
        <v/>
      </c>
      <c r="AH9" s="216">
        <f>IF(AH6=0,0,AH8/AH6)</f>
        <v/>
      </c>
      <c r="AI9" s="216">
        <f>IF(AI6=0,0,AI8/AI6)</f>
        <v/>
      </c>
      <c r="AJ9" s="216">
        <f>IF(AJ6=0,0,AJ8/AJ6)</f>
        <v/>
      </c>
      <c r="AK9" s="216">
        <f>IF(AK6=0,0,AK8/AK6)</f>
        <v/>
      </c>
      <c r="AL9" s="216">
        <f>IF(AL6=0,0,AL8/AL6)</f>
        <v/>
      </c>
      <c r="AM9" s="216">
        <f>IF(AM6=0,0,AM8/AM6)</f>
        <v/>
      </c>
      <c r="AN9" s="216">
        <f>IF(AN6=0,0,AN8/AN6)</f>
        <v/>
      </c>
      <c r="AO9" s="216">
        <f>IF(AO6=0,0,AO8/AO6)</f>
        <v/>
      </c>
      <c r="AP9" s="216">
        <f>IF(AP6=0,0,AP8/AP6)</f>
        <v/>
      </c>
      <c r="AQ9" s="216">
        <f>IF(AQ6=0,0,AQ8/AQ6)</f>
        <v/>
      </c>
      <c r="AR9" s="216">
        <f>IF(AR6=0,0,AR8/AR6)</f>
        <v/>
      </c>
      <c r="AS9" s="216">
        <f>IF(AS6=0,0,AS8/AS6)</f>
        <v/>
      </c>
      <c r="AT9" s="216">
        <f>IF(AT6=0,0,AT8/AT6)</f>
        <v/>
      </c>
      <c r="AU9" s="216">
        <f>IF(AU6=0,0,AU8/AU6)</f>
        <v/>
      </c>
      <c r="AV9" s="216">
        <f>IF(AV6=0,0,AV8/AV6)</f>
        <v/>
      </c>
      <c r="AW9" s="216">
        <f>IF(AW6=0,0,AW8/AW6)</f>
        <v/>
      </c>
      <c r="AX9" s="216">
        <f>IF(AX6=0,0,AX8/AX6)</f>
        <v/>
      </c>
      <c r="AY9" s="216">
        <f>IF(AY6=0,0,AY8/AY6)</f>
        <v/>
      </c>
      <c r="AZ9" s="216">
        <f>IF(AZ6=0,0,AZ8/AZ6)</f>
        <v/>
      </c>
      <c r="BA9" s="216">
        <f>IF(BA6=0,0,BA8/BA6)</f>
        <v/>
      </c>
      <c r="BB9" s="216">
        <f>IF(BB6=0,0,BB8/BB6)</f>
        <v/>
      </c>
      <c r="BC9" s="216">
        <f>IF(BC6=0,0,BC8/BC6)</f>
        <v/>
      </c>
      <c r="BD9" s="216">
        <f>IF(BD6=0,0,BD8/BD6)</f>
        <v/>
      </c>
      <c r="BE9" s="216">
        <f>IF(BE6=0,0,BE8/BE6)</f>
        <v/>
      </c>
      <c r="BF9" s="216">
        <f>IF(BF6=0,0,BF8/BF6)</f>
        <v/>
      </c>
      <c r="BG9" s="216">
        <f>IF(BG6=0,0,BG8/BG6)</f>
        <v/>
      </c>
      <c r="BH9" s="216">
        <f>IF(BH6=0,0,BH8/BH6)</f>
        <v/>
      </c>
      <c r="BI9" s="216">
        <f>IF(BI6=0,0,BI8/BI6)</f>
        <v/>
      </c>
      <c r="BJ9" s="216">
        <f>IF(BJ6=0,0,BJ8/BJ6)</f>
        <v/>
      </c>
      <c r="BL9" s="217">
        <f>IF((C6+D6+E6+F6+G6+H6+I6+J6+K6+L6+M6+N6)=0,0,(C8+D8+E8+F8+G8+H8+I8+J8+K8+L8+M8+N8)/(C6+D6+E6+F6+G6+H6+I6+J6+K6+L6+M6+N6))</f>
        <v/>
      </c>
      <c r="BM9" s="217">
        <f>IF((O6+P6+Q6+R6+S6+T6+U6+V6+W6+X6+Y6+Z6)=0,0,(O8+P8+Q8+R8+S8+T8+U8+V8+W8+X8+Y8+Z8)/(O6+P6+Q6+R6+S6+T6+U6+V6+W6+X6+Y6+Z6))</f>
        <v/>
      </c>
      <c r="BN9" s="217">
        <f>IF((AA6+AB6+AC6+AD6+AE6+AF6+AG6+AH6+AI6+AJ6+AK6+AL6)=0,0,(AA8+AB8+AC8+AD8+AE8+AF8+AG8+AH8+AI8+AJ8+AK8+AL8)/(AA6+AB6+AC6+AD6+AE6+AF6+AG6+AH6+AI6+AJ6+AK6+AL6))</f>
        <v/>
      </c>
      <c r="BO9" s="217">
        <f>IF((AM6+AN6+AO6+AP6+AQ6+AR6+AS6+AT6+AU6+AV6+AW6+AX6)=0,0,(AM8+AN8+AO8+AP8+AQ8+AR8+AS8+AT8+AU8+AV8+AW8+AX8)/(AM6+AN6+AO6+AP6+AQ6+AR6+AS6+AT6+AU6+AV6+AW6+AX6))</f>
        <v/>
      </c>
      <c r="BP9" s="217">
        <f>IF((AY6+AZ6+BA6+BB6+BC6+BD6+BE6+BF6+BG6+BH6+BI6+BJ6)=0,0,(AY8+AZ8+BA8+BB8+BC8+BD8+BE8+BF8+BG8+BH8+BI8+BJ8)/(AY6+AZ6+BA6+BB6+BC6+BD6+BE6+BF6+BG6+BH6+BI6+BJ6))</f>
        <v/>
      </c>
    </row>
    <row r="10" ht="15" customHeight="1" s="104">
      <c r="A10" s="107" t="inlineStr">
        <is>
          <t>Staff Compensation</t>
        </is>
      </c>
      <c r="C10" s="156">
        <f>C6*(Assumptions!B26+Assumptions!B27*0)</f>
        <v/>
      </c>
      <c r="D10" s="156">
        <f>D6*(Assumptions!B26+Assumptions!B27*0)</f>
        <v/>
      </c>
      <c r="E10" s="156">
        <f>E6*(Assumptions!B26+Assumptions!B27*0)</f>
        <v/>
      </c>
      <c r="F10" s="156">
        <f>F6*(Assumptions!B26+Assumptions!B27*0)</f>
        <v/>
      </c>
      <c r="G10" s="156">
        <f>G6*(Assumptions!B26+Assumptions!B27*0)</f>
        <v/>
      </c>
      <c r="H10" s="156">
        <f>H6*(Assumptions!B26+Assumptions!B27*0)</f>
        <v/>
      </c>
      <c r="I10" s="156">
        <f>I6*(Assumptions!B26+Assumptions!B27*0)</f>
        <v/>
      </c>
      <c r="J10" s="156">
        <f>J6*(Assumptions!B26+Assumptions!B27*0)</f>
        <v/>
      </c>
      <c r="K10" s="156">
        <f>K6*(Assumptions!B26+Assumptions!B27*0)</f>
        <v/>
      </c>
      <c r="L10" s="156">
        <f>L6*(Assumptions!B26+Assumptions!B27*0)</f>
        <v/>
      </c>
      <c r="M10" s="156">
        <f>M6*(Assumptions!B26+Assumptions!B27*0)</f>
        <v/>
      </c>
      <c r="N10" s="156">
        <f>N6*(Assumptions!B26+Assumptions!B27*0)</f>
        <v/>
      </c>
      <c r="O10" s="156">
        <f>O6*(Assumptions!B26+Assumptions!B27*1)</f>
        <v/>
      </c>
      <c r="P10" s="156">
        <f>P6*(Assumptions!B26+Assumptions!B27*1)</f>
        <v/>
      </c>
      <c r="Q10" s="156">
        <f>Q6*(Assumptions!B26+Assumptions!B27*1)</f>
        <v/>
      </c>
      <c r="R10" s="156">
        <f>R6*(Assumptions!B26+Assumptions!B27*1)</f>
        <v/>
      </c>
      <c r="S10" s="156">
        <f>S6*(Assumptions!B26+Assumptions!B27*1)</f>
        <v/>
      </c>
      <c r="T10" s="156">
        <f>T6*(Assumptions!B26+Assumptions!B27*1)</f>
        <v/>
      </c>
      <c r="U10" s="156">
        <f>U6*(Assumptions!B26+Assumptions!B27*1)</f>
        <v/>
      </c>
      <c r="V10" s="156">
        <f>V6*(Assumptions!B26+Assumptions!B27*1)</f>
        <v/>
      </c>
      <c r="W10" s="156">
        <f>W6*(Assumptions!B26+Assumptions!B27*1)</f>
        <v/>
      </c>
      <c r="X10" s="156">
        <f>X6*(Assumptions!B26+Assumptions!B27*1)</f>
        <v/>
      </c>
      <c r="Y10" s="156">
        <f>Y6*(Assumptions!B26+Assumptions!B27*1)</f>
        <v/>
      </c>
      <c r="Z10" s="156">
        <f>Z6*(Assumptions!B26+Assumptions!B27*1)</f>
        <v/>
      </c>
      <c r="AA10" s="156">
        <f>AA6*(Assumptions!B26+Assumptions!B27*2)</f>
        <v/>
      </c>
      <c r="AB10" s="156">
        <f>AB6*(Assumptions!B26+Assumptions!B27*2)</f>
        <v/>
      </c>
      <c r="AC10" s="156">
        <f>AC6*(Assumptions!B26+Assumptions!B27*2)</f>
        <v/>
      </c>
      <c r="AD10" s="156">
        <f>AD6*(Assumptions!B26+Assumptions!B27*2)</f>
        <v/>
      </c>
      <c r="AE10" s="156">
        <f>AE6*(Assumptions!B26+Assumptions!B27*2)</f>
        <v/>
      </c>
      <c r="AF10" s="156">
        <f>AF6*(Assumptions!B26+Assumptions!B27*2)</f>
        <v/>
      </c>
      <c r="AG10" s="156">
        <f>AG6*(Assumptions!B26+Assumptions!B27*2)</f>
        <v/>
      </c>
      <c r="AH10" s="156">
        <f>AH6*(Assumptions!B26+Assumptions!B27*2)</f>
        <v/>
      </c>
      <c r="AI10" s="156">
        <f>AI6*(Assumptions!B26+Assumptions!B27*2)</f>
        <v/>
      </c>
      <c r="AJ10" s="156">
        <f>AJ6*(Assumptions!B26+Assumptions!B27*2)</f>
        <v/>
      </c>
      <c r="AK10" s="156">
        <f>AK6*(Assumptions!B26+Assumptions!B27*2)</f>
        <v/>
      </c>
      <c r="AL10" s="156">
        <f>AL6*(Assumptions!B26+Assumptions!B27*2)</f>
        <v/>
      </c>
      <c r="AM10" s="156">
        <f>AM6*(Assumptions!B26+Assumptions!B27*3)</f>
        <v/>
      </c>
      <c r="AN10" s="156">
        <f>AN6*(Assumptions!B26+Assumptions!B27*3)</f>
        <v/>
      </c>
      <c r="AO10" s="156">
        <f>AO6*(Assumptions!B26+Assumptions!B27*3)</f>
        <v/>
      </c>
      <c r="AP10" s="156">
        <f>AP6*(Assumptions!B26+Assumptions!B27*3)</f>
        <v/>
      </c>
      <c r="AQ10" s="156">
        <f>AQ6*(Assumptions!B26+Assumptions!B27*3)</f>
        <v/>
      </c>
      <c r="AR10" s="156">
        <f>AR6*(Assumptions!B26+Assumptions!B27*3)</f>
        <v/>
      </c>
      <c r="AS10" s="156">
        <f>AS6*(Assumptions!B26+Assumptions!B27*3)</f>
        <v/>
      </c>
      <c r="AT10" s="156">
        <f>AT6*(Assumptions!B26+Assumptions!B27*3)</f>
        <v/>
      </c>
      <c r="AU10" s="156">
        <f>AU6*(Assumptions!B26+Assumptions!B27*3)</f>
        <v/>
      </c>
      <c r="AV10" s="156">
        <f>AV6*(Assumptions!B26+Assumptions!B27*3)</f>
        <v/>
      </c>
      <c r="AW10" s="156">
        <f>AW6*(Assumptions!B26+Assumptions!B27*3)</f>
        <v/>
      </c>
      <c r="AX10" s="156">
        <f>AX6*(Assumptions!B26+Assumptions!B27*3)</f>
        <v/>
      </c>
      <c r="AY10" s="156">
        <f>AY6*(Assumptions!B26+Assumptions!B27*4)</f>
        <v/>
      </c>
      <c r="AZ10" s="156">
        <f>AZ6*(Assumptions!B26+Assumptions!B27*4)</f>
        <v/>
      </c>
      <c r="BA10" s="156">
        <f>BA6*(Assumptions!B26+Assumptions!B27*4)</f>
        <v/>
      </c>
      <c r="BB10" s="156">
        <f>BB6*(Assumptions!B26+Assumptions!B27*4)</f>
        <v/>
      </c>
      <c r="BC10" s="156">
        <f>BC6*(Assumptions!B26+Assumptions!B27*4)</f>
        <v/>
      </c>
      <c r="BD10" s="156">
        <f>BD6*(Assumptions!B26+Assumptions!B27*4)</f>
        <v/>
      </c>
      <c r="BE10" s="156">
        <f>BE6*(Assumptions!B26+Assumptions!B27*4)</f>
        <v/>
      </c>
      <c r="BF10" s="156">
        <f>BF6*(Assumptions!B26+Assumptions!B27*4)</f>
        <v/>
      </c>
      <c r="BG10" s="156">
        <f>BG6*(Assumptions!B26+Assumptions!B27*4)</f>
        <v/>
      </c>
      <c r="BH10" s="156">
        <f>BH6*(Assumptions!B26+Assumptions!B27*4)</f>
        <v/>
      </c>
      <c r="BI10" s="156">
        <f>BI6*(Assumptions!B26+Assumptions!B27*4)</f>
        <v/>
      </c>
      <c r="BJ10" s="156">
        <f>BJ6*(Assumptions!B26+Assumptions!B27*4)</f>
        <v/>
      </c>
      <c r="BL10" s="157">
        <f>C10+D10+E10+F10+G10+H10+I10+J10+K10+L10+M10+N10</f>
        <v/>
      </c>
      <c r="BM10" s="157">
        <f>O10+P10+Q10+R10+S10+T10+U10+V10+W10+X10+Y10+Z10</f>
        <v/>
      </c>
      <c r="BN10" s="157">
        <f>AA10+AB10+AC10+AD10+AE10+AF10+AG10+AH10+AI10+AJ10+AK10+AL10</f>
        <v/>
      </c>
      <c r="BO10" s="157">
        <f>AM10+AN10+AO10+AP10+AQ10+AR10+AS10+AT10+AU10+AV10+AW10+AX10</f>
        <v/>
      </c>
      <c r="BP10" s="157">
        <f>AY10+AZ10+BA10+BB10+BC10+BD10+BE10+BF10+BG10+BH10+BI10+BJ10</f>
        <v/>
      </c>
    </row>
    <row r="11" ht="15" customHeight="1" s="104">
      <c r="A11" s="215" t="inlineStr">
        <is>
          <t xml:space="preserve">    % of Revenue</t>
        </is>
      </c>
      <c r="C11" s="216">
        <f>IF(C6=0,0,C10/C6)</f>
        <v/>
      </c>
      <c r="D11" s="216">
        <f>IF(D6=0,0,D10/D6)</f>
        <v/>
      </c>
      <c r="E11" s="216">
        <f>IF(E6=0,0,E10/E6)</f>
        <v/>
      </c>
      <c r="F11" s="216">
        <f>IF(F6=0,0,F10/F6)</f>
        <v/>
      </c>
      <c r="G11" s="216">
        <f>IF(G6=0,0,G10/G6)</f>
        <v/>
      </c>
      <c r="H11" s="216">
        <f>IF(H6=0,0,H10/H6)</f>
        <v/>
      </c>
      <c r="I11" s="216">
        <f>IF(I6=0,0,I10/I6)</f>
        <v/>
      </c>
      <c r="J11" s="216">
        <f>IF(J6=0,0,J10/J6)</f>
        <v/>
      </c>
      <c r="K11" s="216">
        <f>IF(K6=0,0,K10/K6)</f>
        <v/>
      </c>
      <c r="L11" s="216">
        <f>IF(L6=0,0,L10/L6)</f>
        <v/>
      </c>
      <c r="M11" s="216">
        <f>IF(M6=0,0,M10/M6)</f>
        <v/>
      </c>
      <c r="N11" s="216">
        <f>IF(N6=0,0,N10/N6)</f>
        <v/>
      </c>
      <c r="O11" s="216">
        <f>IF(O6=0,0,O10/O6)</f>
        <v/>
      </c>
      <c r="P11" s="216">
        <f>IF(P6=0,0,P10/P6)</f>
        <v/>
      </c>
      <c r="Q11" s="216">
        <f>IF(Q6=0,0,Q10/Q6)</f>
        <v/>
      </c>
      <c r="R11" s="216">
        <f>IF(R6=0,0,R10/R6)</f>
        <v/>
      </c>
      <c r="S11" s="216">
        <f>IF(S6=0,0,S10/S6)</f>
        <v/>
      </c>
      <c r="T11" s="216">
        <f>IF(T6=0,0,T10/T6)</f>
        <v/>
      </c>
      <c r="U11" s="216">
        <f>IF(U6=0,0,U10/U6)</f>
        <v/>
      </c>
      <c r="V11" s="216">
        <f>IF(V6=0,0,V10/V6)</f>
        <v/>
      </c>
      <c r="W11" s="216">
        <f>IF(W6=0,0,W10/W6)</f>
        <v/>
      </c>
      <c r="X11" s="216">
        <f>IF(X6=0,0,X10/X6)</f>
        <v/>
      </c>
      <c r="Y11" s="216">
        <f>IF(Y6=0,0,Y10/Y6)</f>
        <v/>
      </c>
      <c r="Z11" s="216">
        <f>IF(Z6=0,0,Z10/Z6)</f>
        <v/>
      </c>
      <c r="AA11" s="216">
        <f>IF(AA6=0,0,AA10/AA6)</f>
        <v/>
      </c>
      <c r="AB11" s="216">
        <f>IF(AB6=0,0,AB10/AB6)</f>
        <v/>
      </c>
      <c r="AC11" s="216">
        <f>IF(AC6=0,0,AC10/AC6)</f>
        <v/>
      </c>
      <c r="AD11" s="216">
        <f>IF(AD6=0,0,AD10/AD6)</f>
        <v/>
      </c>
      <c r="AE11" s="216">
        <f>IF(AE6=0,0,AE10/AE6)</f>
        <v/>
      </c>
      <c r="AF11" s="216">
        <f>IF(AF6=0,0,AF10/AF6)</f>
        <v/>
      </c>
      <c r="AG11" s="216">
        <f>IF(AG6=0,0,AG10/AG6)</f>
        <v/>
      </c>
      <c r="AH11" s="216">
        <f>IF(AH6=0,0,AH10/AH6)</f>
        <v/>
      </c>
      <c r="AI11" s="216">
        <f>IF(AI6=0,0,AI10/AI6)</f>
        <v/>
      </c>
      <c r="AJ11" s="216">
        <f>IF(AJ6=0,0,AJ10/AJ6)</f>
        <v/>
      </c>
      <c r="AK11" s="216">
        <f>IF(AK6=0,0,AK10/AK6)</f>
        <v/>
      </c>
      <c r="AL11" s="216">
        <f>IF(AL6=0,0,AL10/AL6)</f>
        <v/>
      </c>
      <c r="AM11" s="216">
        <f>IF(AM6=0,0,AM10/AM6)</f>
        <v/>
      </c>
      <c r="AN11" s="216">
        <f>IF(AN6=0,0,AN10/AN6)</f>
        <v/>
      </c>
      <c r="AO11" s="216">
        <f>IF(AO6=0,0,AO10/AO6)</f>
        <v/>
      </c>
      <c r="AP11" s="216">
        <f>IF(AP6=0,0,AP10/AP6)</f>
        <v/>
      </c>
      <c r="AQ11" s="216">
        <f>IF(AQ6=0,0,AQ10/AQ6)</f>
        <v/>
      </c>
      <c r="AR11" s="216">
        <f>IF(AR6=0,0,AR10/AR6)</f>
        <v/>
      </c>
      <c r="AS11" s="216">
        <f>IF(AS6=0,0,AS10/AS6)</f>
        <v/>
      </c>
      <c r="AT11" s="216">
        <f>IF(AT6=0,0,AT10/AT6)</f>
        <v/>
      </c>
      <c r="AU11" s="216">
        <f>IF(AU6=0,0,AU10/AU6)</f>
        <v/>
      </c>
      <c r="AV11" s="216">
        <f>IF(AV6=0,0,AV10/AV6)</f>
        <v/>
      </c>
      <c r="AW11" s="216">
        <f>IF(AW6=0,0,AW10/AW6)</f>
        <v/>
      </c>
      <c r="AX11" s="216">
        <f>IF(AX6=0,0,AX10/AX6)</f>
        <v/>
      </c>
      <c r="AY11" s="216">
        <f>IF(AY6=0,0,AY10/AY6)</f>
        <v/>
      </c>
      <c r="AZ11" s="216">
        <f>IF(AZ6=0,0,AZ10/AZ6)</f>
        <v/>
      </c>
      <c r="BA11" s="216">
        <f>IF(BA6=0,0,BA10/BA6)</f>
        <v/>
      </c>
      <c r="BB11" s="216">
        <f>IF(BB6=0,0,BB10/BB6)</f>
        <v/>
      </c>
      <c r="BC11" s="216">
        <f>IF(BC6=0,0,BC10/BC6)</f>
        <v/>
      </c>
      <c r="BD11" s="216">
        <f>IF(BD6=0,0,BD10/BD6)</f>
        <v/>
      </c>
      <c r="BE11" s="216">
        <f>IF(BE6=0,0,BE10/BE6)</f>
        <v/>
      </c>
      <c r="BF11" s="216">
        <f>IF(BF6=0,0,BF10/BF6)</f>
        <v/>
      </c>
      <c r="BG11" s="216">
        <f>IF(BG6=0,0,BG10/BG6)</f>
        <v/>
      </c>
      <c r="BH11" s="216">
        <f>IF(BH6=0,0,BH10/BH6)</f>
        <v/>
      </c>
      <c r="BI11" s="216">
        <f>IF(BI6=0,0,BI10/BI6)</f>
        <v/>
      </c>
      <c r="BJ11" s="216">
        <f>IF(BJ6=0,0,BJ10/BJ6)</f>
        <v/>
      </c>
      <c r="BL11" s="217">
        <f>IF((C6+D6+E6+F6+G6+H6+I6+J6+K6+L6+M6+N6)=0,0,(C10+D10+E10+F10+G10+H10+I10+J10+K10+L10+M10+N10)/(C6+D6+E6+F6+G6+H6+I6+J6+K6+L6+M6+N6))</f>
        <v/>
      </c>
      <c r="BM11" s="217">
        <f>IF((O6+P6+Q6+R6+S6+T6+U6+V6+W6+X6+Y6+Z6)=0,0,(O10+P10+Q10+R10+S10+T10+U10+V10+W10+X10+Y10+Z10)/(O6+P6+Q6+R6+S6+T6+U6+V6+W6+X6+Y6+Z6))</f>
        <v/>
      </c>
      <c r="BN11" s="217">
        <f>IF((AA6+AB6+AC6+AD6+AE6+AF6+AG6+AH6+AI6+AJ6+AK6+AL6)=0,0,(AA10+AB10+AC10+AD10+AE10+AF10+AG10+AH10+AI10+AJ10+AK10+AL10)/(AA6+AB6+AC6+AD6+AE6+AF6+AG6+AH6+AI6+AJ6+AK6+AL6))</f>
        <v/>
      </c>
      <c r="BO11" s="217">
        <f>IF((AM6+AN6+AO6+AP6+AQ6+AR6+AS6+AT6+AU6+AV6+AW6+AX6)=0,0,(AM10+AN10+AO10+AP10+AQ10+AR10+AS10+AT10+AU10+AV10+AW10+AX10)/(AM6+AN6+AO6+AP6+AQ6+AR6+AS6+AT6+AU6+AV6+AW6+AX6))</f>
        <v/>
      </c>
      <c r="BP11" s="217">
        <f>IF((AY6+AZ6+BA6+BB6+BC6+BD6+BE6+BF6+BG6+BH6+BI6+BJ6)=0,0,(AY10+AZ10+BA10+BB10+BC10+BD10+BE10+BF10+BG10+BH10+BI10+BJ10)/(AY6+AZ6+BA6+BB6+BC6+BD6+BE6+BF6+BG6+BH6+BI6+BJ6))</f>
        <v/>
      </c>
    </row>
    <row r="12" ht="15" customHeight="1" s="104">
      <c r="A12" s="107" t="inlineStr">
        <is>
          <t>Occupancy &amp; Facilities</t>
        </is>
      </c>
      <c r="C12" s="156">
        <f>C6*(Assumptions!B28+Assumptions!B29*0)</f>
        <v/>
      </c>
      <c r="D12" s="156">
        <f>D6*(Assumptions!B28+Assumptions!B29*0)</f>
        <v/>
      </c>
      <c r="E12" s="156">
        <f>E6*(Assumptions!B28+Assumptions!B29*0)</f>
        <v/>
      </c>
      <c r="F12" s="156">
        <f>F6*(Assumptions!B28+Assumptions!B29*0)</f>
        <v/>
      </c>
      <c r="G12" s="156">
        <f>G6*(Assumptions!B28+Assumptions!B29*0)</f>
        <v/>
      </c>
      <c r="H12" s="156">
        <f>H6*(Assumptions!B28+Assumptions!B29*0)</f>
        <v/>
      </c>
      <c r="I12" s="156">
        <f>I6*(Assumptions!B28+Assumptions!B29*0)</f>
        <v/>
      </c>
      <c r="J12" s="156">
        <f>J6*(Assumptions!B28+Assumptions!B29*0)</f>
        <v/>
      </c>
      <c r="K12" s="156">
        <f>K6*(Assumptions!B28+Assumptions!B29*0)</f>
        <v/>
      </c>
      <c r="L12" s="156">
        <f>L6*(Assumptions!B28+Assumptions!B29*0)</f>
        <v/>
      </c>
      <c r="M12" s="156">
        <f>M6*(Assumptions!B28+Assumptions!B29*0)</f>
        <v/>
      </c>
      <c r="N12" s="156">
        <f>N6*(Assumptions!B28+Assumptions!B29*0)</f>
        <v/>
      </c>
      <c r="O12" s="156">
        <f>O6*(Assumptions!B28+Assumptions!B29*1)</f>
        <v/>
      </c>
      <c r="P12" s="156">
        <f>P6*(Assumptions!B28+Assumptions!B29*1)</f>
        <v/>
      </c>
      <c r="Q12" s="156">
        <f>Q6*(Assumptions!B28+Assumptions!B29*1)</f>
        <v/>
      </c>
      <c r="R12" s="156">
        <f>R6*(Assumptions!B28+Assumptions!B29*1)</f>
        <v/>
      </c>
      <c r="S12" s="156">
        <f>S6*(Assumptions!B28+Assumptions!B29*1)</f>
        <v/>
      </c>
      <c r="T12" s="156">
        <f>T6*(Assumptions!B28+Assumptions!B29*1)</f>
        <v/>
      </c>
      <c r="U12" s="156">
        <f>U6*(Assumptions!B28+Assumptions!B29*1)</f>
        <v/>
      </c>
      <c r="V12" s="156">
        <f>V6*(Assumptions!B28+Assumptions!B29*1)</f>
        <v/>
      </c>
      <c r="W12" s="156">
        <f>W6*(Assumptions!B28+Assumptions!B29*1)</f>
        <v/>
      </c>
      <c r="X12" s="156">
        <f>X6*(Assumptions!B28+Assumptions!B29*1)</f>
        <v/>
      </c>
      <c r="Y12" s="156">
        <f>Y6*(Assumptions!B28+Assumptions!B29*1)</f>
        <v/>
      </c>
      <c r="Z12" s="156">
        <f>Z6*(Assumptions!B28+Assumptions!B29*1)</f>
        <v/>
      </c>
      <c r="AA12" s="156">
        <f>AA6*(Assumptions!B28+Assumptions!B29*2)</f>
        <v/>
      </c>
      <c r="AB12" s="156">
        <f>AB6*(Assumptions!B28+Assumptions!B29*2)</f>
        <v/>
      </c>
      <c r="AC12" s="156">
        <f>AC6*(Assumptions!B28+Assumptions!B29*2)</f>
        <v/>
      </c>
      <c r="AD12" s="156">
        <f>AD6*(Assumptions!B28+Assumptions!B29*2)</f>
        <v/>
      </c>
      <c r="AE12" s="156">
        <f>AE6*(Assumptions!B28+Assumptions!B29*2)</f>
        <v/>
      </c>
      <c r="AF12" s="156">
        <f>AF6*(Assumptions!B28+Assumptions!B29*2)</f>
        <v/>
      </c>
      <c r="AG12" s="156">
        <f>AG6*(Assumptions!B28+Assumptions!B29*2)</f>
        <v/>
      </c>
      <c r="AH12" s="156">
        <f>AH6*(Assumptions!B28+Assumptions!B29*2)</f>
        <v/>
      </c>
      <c r="AI12" s="156">
        <f>AI6*(Assumptions!B28+Assumptions!B29*2)</f>
        <v/>
      </c>
      <c r="AJ12" s="156">
        <f>AJ6*(Assumptions!B28+Assumptions!B29*2)</f>
        <v/>
      </c>
      <c r="AK12" s="156">
        <f>AK6*(Assumptions!B28+Assumptions!B29*2)</f>
        <v/>
      </c>
      <c r="AL12" s="156">
        <f>AL6*(Assumptions!B28+Assumptions!B29*2)</f>
        <v/>
      </c>
      <c r="AM12" s="156">
        <f>AM6*(Assumptions!B28+Assumptions!B29*3)</f>
        <v/>
      </c>
      <c r="AN12" s="156">
        <f>AN6*(Assumptions!B28+Assumptions!B29*3)</f>
        <v/>
      </c>
      <c r="AO12" s="156">
        <f>AO6*(Assumptions!B28+Assumptions!B29*3)</f>
        <v/>
      </c>
      <c r="AP12" s="156">
        <f>AP6*(Assumptions!B28+Assumptions!B29*3)</f>
        <v/>
      </c>
      <c r="AQ12" s="156">
        <f>AQ6*(Assumptions!B28+Assumptions!B29*3)</f>
        <v/>
      </c>
      <c r="AR12" s="156">
        <f>AR6*(Assumptions!B28+Assumptions!B29*3)</f>
        <v/>
      </c>
      <c r="AS12" s="156">
        <f>AS6*(Assumptions!B28+Assumptions!B29*3)</f>
        <v/>
      </c>
      <c r="AT12" s="156">
        <f>AT6*(Assumptions!B28+Assumptions!B29*3)</f>
        <v/>
      </c>
      <c r="AU12" s="156">
        <f>AU6*(Assumptions!B28+Assumptions!B29*3)</f>
        <v/>
      </c>
      <c r="AV12" s="156">
        <f>AV6*(Assumptions!B28+Assumptions!B29*3)</f>
        <v/>
      </c>
      <c r="AW12" s="156">
        <f>AW6*(Assumptions!B28+Assumptions!B29*3)</f>
        <v/>
      </c>
      <c r="AX12" s="156">
        <f>AX6*(Assumptions!B28+Assumptions!B29*3)</f>
        <v/>
      </c>
      <c r="AY12" s="156">
        <f>AY6*(Assumptions!B28+Assumptions!B29*4)</f>
        <v/>
      </c>
      <c r="AZ12" s="156">
        <f>AZ6*(Assumptions!B28+Assumptions!B29*4)</f>
        <v/>
      </c>
      <c r="BA12" s="156">
        <f>BA6*(Assumptions!B28+Assumptions!B29*4)</f>
        <v/>
      </c>
      <c r="BB12" s="156">
        <f>BB6*(Assumptions!B28+Assumptions!B29*4)</f>
        <v/>
      </c>
      <c r="BC12" s="156">
        <f>BC6*(Assumptions!B28+Assumptions!B29*4)</f>
        <v/>
      </c>
      <c r="BD12" s="156">
        <f>BD6*(Assumptions!B28+Assumptions!B29*4)</f>
        <v/>
      </c>
      <c r="BE12" s="156">
        <f>BE6*(Assumptions!B28+Assumptions!B29*4)</f>
        <v/>
      </c>
      <c r="BF12" s="156">
        <f>BF6*(Assumptions!B28+Assumptions!B29*4)</f>
        <v/>
      </c>
      <c r="BG12" s="156">
        <f>BG6*(Assumptions!B28+Assumptions!B29*4)</f>
        <v/>
      </c>
      <c r="BH12" s="156">
        <f>BH6*(Assumptions!B28+Assumptions!B29*4)</f>
        <v/>
      </c>
      <c r="BI12" s="156">
        <f>BI6*(Assumptions!B28+Assumptions!B29*4)</f>
        <v/>
      </c>
      <c r="BJ12" s="156">
        <f>BJ6*(Assumptions!B28+Assumptions!B29*4)</f>
        <v/>
      </c>
      <c r="BL12" s="157">
        <f>C12+D12+E12+F12+G12+H12+I12+J12+K12+L12+M12+N12</f>
        <v/>
      </c>
      <c r="BM12" s="157">
        <f>O12+P12+Q12+R12+S12+T12+U12+V12+W12+X12+Y12+Z12</f>
        <v/>
      </c>
      <c r="BN12" s="157">
        <f>AA12+AB12+AC12+AD12+AE12+AF12+AG12+AH12+AI12+AJ12+AK12+AL12</f>
        <v/>
      </c>
      <c r="BO12" s="157">
        <f>AM12+AN12+AO12+AP12+AQ12+AR12+AS12+AT12+AU12+AV12+AW12+AX12</f>
        <v/>
      </c>
      <c r="BP12" s="157">
        <f>AY12+AZ12+BA12+BB12+BC12+BD12+BE12+BF12+BG12+BH12+BI12+BJ12</f>
        <v/>
      </c>
    </row>
    <row r="13" ht="15" customHeight="1" s="104">
      <c r="A13" s="215" t="inlineStr">
        <is>
          <t xml:space="preserve">    % of Revenue</t>
        </is>
      </c>
      <c r="C13" s="216">
        <f>IF(C6=0,0,C12/C6)</f>
        <v/>
      </c>
      <c r="D13" s="216">
        <f>IF(D6=0,0,D12/D6)</f>
        <v/>
      </c>
      <c r="E13" s="216">
        <f>IF(E6=0,0,E12/E6)</f>
        <v/>
      </c>
      <c r="F13" s="216">
        <f>IF(F6=0,0,F12/F6)</f>
        <v/>
      </c>
      <c r="G13" s="216">
        <f>IF(G6=0,0,G12/G6)</f>
        <v/>
      </c>
      <c r="H13" s="216">
        <f>IF(H6=0,0,H12/H6)</f>
        <v/>
      </c>
      <c r="I13" s="216">
        <f>IF(I6=0,0,I12/I6)</f>
        <v/>
      </c>
      <c r="J13" s="216">
        <f>IF(J6=0,0,J12/J6)</f>
        <v/>
      </c>
      <c r="K13" s="216">
        <f>IF(K6=0,0,K12/K6)</f>
        <v/>
      </c>
      <c r="L13" s="216">
        <f>IF(L6=0,0,L12/L6)</f>
        <v/>
      </c>
      <c r="M13" s="216">
        <f>IF(M6=0,0,M12/M6)</f>
        <v/>
      </c>
      <c r="N13" s="216">
        <f>IF(N6=0,0,N12/N6)</f>
        <v/>
      </c>
      <c r="O13" s="216">
        <f>IF(O6=0,0,O12/O6)</f>
        <v/>
      </c>
      <c r="P13" s="216">
        <f>IF(P6=0,0,P12/P6)</f>
        <v/>
      </c>
      <c r="Q13" s="216">
        <f>IF(Q6=0,0,Q12/Q6)</f>
        <v/>
      </c>
      <c r="R13" s="216">
        <f>IF(R6=0,0,R12/R6)</f>
        <v/>
      </c>
      <c r="S13" s="216">
        <f>IF(S6=0,0,S12/S6)</f>
        <v/>
      </c>
      <c r="T13" s="216">
        <f>IF(T6=0,0,T12/T6)</f>
        <v/>
      </c>
      <c r="U13" s="216">
        <f>IF(U6=0,0,U12/U6)</f>
        <v/>
      </c>
      <c r="V13" s="216">
        <f>IF(V6=0,0,V12/V6)</f>
        <v/>
      </c>
      <c r="W13" s="216">
        <f>IF(W6=0,0,W12/W6)</f>
        <v/>
      </c>
      <c r="X13" s="216">
        <f>IF(X6=0,0,X12/X6)</f>
        <v/>
      </c>
      <c r="Y13" s="216">
        <f>IF(Y6=0,0,Y12/Y6)</f>
        <v/>
      </c>
      <c r="Z13" s="216">
        <f>IF(Z6=0,0,Z12/Z6)</f>
        <v/>
      </c>
      <c r="AA13" s="216">
        <f>IF(AA6=0,0,AA12/AA6)</f>
        <v/>
      </c>
      <c r="AB13" s="216">
        <f>IF(AB6=0,0,AB12/AB6)</f>
        <v/>
      </c>
      <c r="AC13" s="216">
        <f>IF(AC6=0,0,AC12/AC6)</f>
        <v/>
      </c>
      <c r="AD13" s="216">
        <f>IF(AD6=0,0,AD12/AD6)</f>
        <v/>
      </c>
      <c r="AE13" s="216">
        <f>IF(AE6=0,0,AE12/AE6)</f>
        <v/>
      </c>
      <c r="AF13" s="216">
        <f>IF(AF6=0,0,AF12/AF6)</f>
        <v/>
      </c>
      <c r="AG13" s="216">
        <f>IF(AG6=0,0,AG12/AG6)</f>
        <v/>
      </c>
      <c r="AH13" s="216">
        <f>IF(AH6=0,0,AH12/AH6)</f>
        <v/>
      </c>
      <c r="AI13" s="216">
        <f>IF(AI6=0,0,AI12/AI6)</f>
        <v/>
      </c>
      <c r="AJ13" s="216">
        <f>IF(AJ6=0,0,AJ12/AJ6)</f>
        <v/>
      </c>
      <c r="AK13" s="216">
        <f>IF(AK6=0,0,AK12/AK6)</f>
        <v/>
      </c>
      <c r="AL13" s="216">
        <f>IF(AL6=0,0,AL12/AL6)</f>
        <v/>
      </c>
      <c r="AM13" s="216">
        <f>IF(AM6=0,0,AM12/AM6)</f>
        <v/>
      </c>
      <c r="AN13" s="216">
        <f>IF(AN6=0,0,AN12/AN6)</f>
        <v/>
      </c>
      <c r="AO13" s="216">
        <f>IF(AO6=0,0,AO12/AO6)</f>
        <v/>
      </c>
      <c r="AP13" s="216">
        <f>IF(AP6=0,0,AP12/AP6)</f>
        <v/>
      </c>
      <c r="AQ13" s="216">
        <f>IF(AQ6=0,0,AQ12/AQ6)</f>
        <v/>
      </c>
      <c r="AR13" s="216">
        <f>IF(AR6=0,0,AR12/AR6)</f>
        <v/>
      </c>
      <c r="AS13" s="216">
        <f>IF(AS6=0,0,AS12/AS6)</f>
        <v/>
      </c>
      <c r="AT13" s="216">
        <f>IF(AT6=0,0,AT12/AT6)</f>
        <v/>
      </c>
      <c r="AU13" s="216">
        <f>IF(AU6=0,0,AU12/AU6)</f>
        <v/>
      </c>
      <c r="AV13" s="216">
        <f>IF(AV6=0,0,AV12/AV6)</f>
        <v/>
      </c>
      <c r="AW13" s="216">
        <f>IF(AW6=0,0,AW12/AW6)</f>
        <v/>
      </c>
      <c r="AX13" s="216">
        <f>IF(AX6=0,0,AX12/AX6)</f>
        <v/>
      </c>
      <c r="AY13" s="216">
        <f>IF(AY6=0,0,AY12/AY6)</f>
        <v/>
      </c>
      <c r="AZ13" s="216">
        <f>IF(AZ6=0,0,AZ12/AZ6)</f>
        <v/>
      </c>
      <c r="BA13" s="216">
        <f>IF(BA6=0,0,BA12/BA6)</f>
        <v/>
      </c>
      <c r="BB13" s="216">
        <f>IF(BB6=0,0,BB12/BB6)</f>
        <v/>
      </c>
      <c r="BC13" s="216">
        <f>IF(BC6=0,0,BC12/BC6)</f>
        <v/>
      </c>
      <c r="BD13" s="216">
        <f>IF(BD6=0,0,BD12/BD6)</f>
        <v/>
      </c>
      <c r="BE13" s="216">
        <f>IF(BE6=0,0,BE12/BE6)</f>
        <v/>
      </c>
      <c r="BF13" s="216">
        <f>IF(BF6=0,0,BF12/BF6)</f>
        <v/>
      </c>
      <c r="BG13" s="216">
        <f>IF(BG6=0,0,BG12/BG6)</f>
        <v/>
      </c>
      <c r="BH13" s="216">
        <f>IF(BH6=0,0,BH12/BH6)</f>
        <v/>
      </c>
      <c r="BI13" s="216">
        <f>IF(BI6=0,0,BI12/BI6)</f>
        <v/>
      </c>
      <c r="BJ13" s="216">
        <f>IF(BJ6=0,0,BJ12/BJ6)</f>
        <v/>
      </c>
      <c r="BL13" s="217">
        <f>IF((C6+D6+E6+F6+G6+H6+I6+J6+K6+L6+M6+N6)=0,0,(C12+D12+E12+F12+G12+H12+I12+J12+K12+L12+M12+N12)/(C6+D6+E6+F6+G6+H6+I6+J6+K6+L6+M6+N6))</f>
        <v/>
      </c>
      <c r="BM13" s="217">
        <f>IF((O6+P6+Q6+R6+S6+T6+U6+V6+W6+X6+Y6+Z6)=0,0,(O12+P12+Q12+R12+S12+T12+U12+V12+W12+X12+Y12+Z12)/(O6+P6+Q6+R6+S6+T6+U6+V6+W6+X6+Y6+Z6))</f>
        <v/>
      </c>
      <c r="BN13" s="217">
        <f>IF((AA6+AB6+AC6+AD6+AE6+AF6+AG6+AH6+AI6+AJ6+AK6+AL6)=0,0,(AA12+AB12+AC12+AD12+AE12+AF12+AG12+AH12+AI12+AJ12+AK12+AL12)/(AA6+AB6+AC6+AD6+AE6+AF6+AG6+AH6+AI6+AJ6+AK6+AL6))</f>
        <v/>
      </c>
      <c r="BO13" s="217">
        <f>IF((AM6+AN6+AO6+AP6+AQ6+AR6+AS6+AT6+AU6+AV6+AW6+AX6)=0,0,(AM12+AN12+AO12+AP12+AQ12+AR12+AS12+AT12+AU12+AV12+AW12+AX12)/(AM6+AN6+AO6+AP6+AQ6+AR6+AS6+AT6+AU6+AV6+AW6+AX6))</f>
        <v/>
      </c>
      <c r="BP13" s="217">
        <f>IF((AY6+AZ6+BA6+BB6+BC6+BD6+BE6+BF6+BG6+BH6+BI6+BJ6)=0,0,(AY12+AZ12+BA12+BB12+BC12+BD12+BE12+BF12+BG12+BH12+BI12+BJ12)/(AY6+AZ6+BA6+BB6+BC6+BD6+BE6+BF6+BG6+BH6+BI6+BJ6))</f>
        <v/>
      </c>
    </row>
    <row r="14" ht="15" customHeight="1" s="104">
      <c r="A14" s="107" t="inlineStr">
        <is>
          <t>Technology &amp; Software</t>
        </is>
      </c>
      <c r="C14" s="156">
        <f>C6*(Assumptions!B30+Assumptions!B31*0)</f>
        <v/>
      </c>
      <c r="D14" s="156">
        <f>D6*(Assumptions!B30+Assumptions!B31*0)</f>
        <v/>
      </c>
      <c r="E14" s="156">
        <f>E6*(Assumptions!B30+Assumptions!B31*0)</f>
        <v/>
      </c>
      <c r="F14" s="156">
        <f>F6*(Assumptions!B30+Assumptions!B31*0)</f>
        <v/>
      </c>
      <c r="G14" s="156">
        <f>G6*(Assumptions!B30+Assumptions!B31*0)</f>
        <v/>
      </c>
      <c r="H14" s="156">
        <f>H6*(Assumptions!B30+Assumptions!B31*0)</f>
        <v/>
      </c>
      <c r="I14" s="156">
        <f>I6*(Assumptions!B30+Assumptions!B31*0)</f>
        <v/>
      </c>
      <c r="J14" s="156">
        <f>J6*(Assumptions!B30+Assumptions!B31*0)</f>
        <v/>
      </c>
      <c r="K14" s="156">
        <f>K6*(Assumptions!B30+Assumptions!B31*0)</f>
        <v/>
      </c>
      <c r="L14" s="156">
        <f>L6*(Assumptions!B30+Assumptions!B31*0)</f>
        <v/>
      </c>
      <c r="M14" s="156">
        <f>M6*(Assumptions!B30+Assumptions!B31*0)</f>
        <v/>
      </c>
      <c r="N14" s="156">
        <f>N6*(Assumptions!B30+Assumptions!B31*0)</f>
        <v/>
      </c>
      <c r="O14" s="156">
        <f>O6*(Assumptions!B30+Assumptions!B31*1)</f>
        <v/>
      </c>
      <c r="P14" s="156">
        <f>P6*(Assumptions!B30+Assumptions!B31*1)</f>
        <v/>
      </c>
      <c r="Q14" s="156">
        <f>Q6*(Assumptions!B30+Assumptions!B31*1)</f>
        <v/>
      </c>
      <c r="R14" s="156">
        <f>R6*(Assumptions!B30+Assumptions!B31*1)</f>
        <v/>
      </c>
      <c r="S14" s="156">
        <f>S6*(Assumptions!B30+Assumptions!B31*1)</f>
        <v/>
      </c>
      <c r="T14" s="156">
        <f>T6*(Assumptions!B30+Assumptions!B31*1)</f>
        <v/>
      </c>
      <c r="U14" s="156">
        <f>U6*(Assumptions!B30+Assumptions!B31*1)</f>
        <v/>
      </c>
      <c r="V14" s="156">
        <f>V6*(Assumptions!B30+Assumptions!B31*1)</f>
        <v/>
      </c>
      <c r="W14" s="156">
        <f>W6*(Assumptions!B30+Assumptions!B31*1)</f>
        <v/>
      </c>
      <c r="X14" s="156">
        <f>X6*(Assumptions!B30+Assumptions!B31*1)</f>
        <v/>
      </c>
      <c r="Y14" s="156">
        <f>Y6*(Assumptions!B30+Assumptions!B31*1)</f>
        <v/>
      </c>
      <c r="Z14" s="156">
        <f>Z6*(Assumptions!B30+Assumptions!B31*1)</f>
        <v/>
      </c>
      <c r="AA14" s="156">
        <f>AA6*(Assumptions!B30+Assumptions!B31*2)</f>
        <v/>
      </c>
      <c r="AB14" s="156">
        <f>AB6*(Assumptions!B30+Assumptions!B31*2)</f>
        <v/>
      </c>
      <c r="AC14" s="156">
        <f>AC6*(Assumptions!B30+Assumptions!B31*2)</f>
        <v/>
      </c>
      <c r="AD14" s="156">
        <f>AD6*(Assumptions!B30+Assumptions!B31*2)</f>
        <v/>
      </c>
      <c r="AE14" s="156">
        <f>AE6*(Assumptions!B30+Assumptions!B31*2)</f>
        <v/>
      </c>
      <c r="AF14" s="156">
        <f>AF6*(Assumptions!B30+Assumptions!B31*2)</f>
        <v/>
      </c>
      <c r="AG14" s="156">
        <f>AG6*(Assumptions!B30+Assumptions!B31*2)</f>
        <v/>
      </c>
      <c r="AH14" s="156">
        <f>AH6*(Assumptions!B30+Assumptions!B31*2)</f>
        <v/>
      </c>
      <c r="AI14" s="156">
        <f>AI6*(Assumptions!B30+Assumptions!B31*2)</f>
        <v/>
      </c>
      <c r="AJ14" s="156">
        <f>AJ6*(Assumptions!B30+Assumptions!B31*2)</f>
        <v/>
      </c>
      <c r="AK14" s="156">
        <f>AK6*(Assumptions!B30+Assumptions!B31*2)</f>
        <v/>
      </c>
      <c r="AL14" s="156">
        <f>AL6*(Assumptions!B30+Assumptions!B31*2)</f>
        <v/>
      </c>
      <c r="AM14" s="156">
        <f>AM6*(Assumptions!B30+Assumptions!B31*3)</f>
        <v/>
      </c>
      <c r="AN14" s="156">
        <f>AN6*(Assumptions!B30+Assumptions!B31*3)</f>
        <v/>
      </c>
      <c r="AO14" s="156">
        <f>AO6*(Assumptions!B30+Assumptions!B31*3)</f>
        <v/>
      </c>
      <c r="AP14" s="156">
        <f>AP6*(Assumptions!B30+Assumptions!B31*3)</f>
        <v/>
      </c>
      <c r="AQ14" s="156">
        <f>AQ6*(Assumptions!B30+Assumptions!B31*3)</f>
        <v/>
      </c>
      <c r="AR14" s="156">
        <f>AR6*(Assumptions!B30+Assumptions!B31*3)</f>
        <v/>
      </c>
      <c r="AS14" s="156">
        <f>AS6*(Assumptions!B30+Assumptions!B31*3)</f>
        <v/>
      </c>
      <c r="AT14" s="156">
        <f>AT6*(Assumptions!B30+Assumptions!B31*3)</f>
        <v/>
      </c>
      <c r="AU14" s="156">
        <f>AU6*(Assumptions!B30+Assumptions!B31*3)</f>
        <v/>
      </c>
      <c r="AV14" s="156">
        <f>AV6*(Assumptions!B30+Assumptions!B31*3)</f>
        <v/>
      </c>
      <c r="AW14" s="156">
        <f>AW6*(Assumptions!B30+Assumptions!B31*3)</f>
        <v/>
      </c>
      <c r="AX14" s="156">
        <f>AX6*(Assumptions!B30+Assumptions!B31*3)</f>
        <v/>
      </c>
      <c r="AY14" s="156">
        <f>AY6*(Assumptions!B30+Assumptions!B31*4)</f>
        <v/>
      </c>
      <c r="AZ14" s="156">
        <f>AZ6*(Assumptions!B30+Assumptions!B31*4)</f>
        <v/>
      </c>
      <c r="BA14" s="156">
        <f>BA6*(Assumptions!B30+Assumptions!B31*4)</f>
        <v/>
      </c>
      <c r="BB14" s="156">
        <f>BB6*(Assumptions!B30+Assumptions!B31*4)</f>
        <v/>
      </c>
      <c r="BC14" s="156">
        <f>BC6*(Assumptions!B30+Assumptions!B31*4)</f>
        <v/>
      </c>
      <c r="BD14" s="156">
        <f>BD6*(Assumptions!B30+Assumptions!B31*4)</f>
        <v/>
      </c>
      <c r="BE14" s="156">
        <f>BE6*(Assumptions!B30+Assumptions!B31*4)</f>
        <v/>
      </c>
      <c r="BF14" s="156">
        <f>BF6*(Assumptions!B30+Assumptions!B31*4)</f>
        <v/>
      </c>
      <c r="BG14" s="156">
        <f>BG6*(Assumptions!B30+Assumptions!B31*4)</f>
        <v/>
      </c>
      <c r="BH14" s="156">
        <f>BH6*(Assumptions!B30+Assumptions!B31*4)</f>
        <v/>
      </c>
      <c r="BI14" s="156">
        <f>BI6*(Assumptions!B30+Assumptions!B31*4)</f>
        <v/>
      </c>
      <c r="BJ14" s="156">
        <f>BJ6*(Assumptions!B30+Assumptions!B31*4)</f>
        <v/>
      </c>
      <c r="BL14" s="157">
        <f>C14+D14+E14+F14+G14+H14+I14+J14+K14+L14+M14+N14</f>
        <v/>
      </c>
      <c r="BM14" s="157">
        <f>O14+P14+Q14+R14+S14+T14+U14+V14+W14+X14+Y14+Z14</f>
        <v/>
      </c>
      <c r="BN14" s="157">
        <f>AA14+AB14+AC14+AD14+AE14+AF14+AG14+AH14+AI14+AJ14+AK14+AL14</f>
        <v/>
      </c>
      <c r="BO14" s="157">
        <f>AM14+AN14+AO14+AP14+AQ14+AR14+AS14+AT14+AU14+AV14+AW14+AX14</f>
        <v/>
      </c>
      <c r="BP14" s="157">
        <f>AY14+AZ14+BA14+BB14+BC14+BD14+BE14+BF14+BG14+BH14+BI14+BJ14</f>
        <v/>
      </c>
    </row>
    <row r="15" ht="15" customHeight="1" s="104">
      <c r="A15" s="215" t="inlineStr">
        <is>
          <t xml:space="preserve">    % of Revenue</t>
        </is>
      </c>
      <c r="C15" s="216">
        <f>IF(C6=0,0,C14/C6)</f>
        <v/>
      </c>
      <c r="D15" s="216">
        <f>IF(D6=0,0,D14/D6)</f>
        <v/>
      </c>
      <c r="E15" s="216">
        <f>IF(E6=0,0,E14/E6)</f>
        <v/>
      </c>
      <c r="F15" s="216">
        <f>IF(F6=0,0,F14/F6)</f>
        <v/>
      </c>
      <c r="G15" s="216">
        <f>IF(G6=0,0,G14/G6)</f>
        <v/>
      </c>
      <c r="H15" s="216">
        <f>IF(H6=0,0,H14/H6)</f>
        <v/>
      </c>
      <c r="I15" s="216">
        <f>IF(I6=0,0,I14/I6)</f>
        <v/>
      </c>
      <c r="J15" s="216">
        <f>IF(J6=0,0,J14/J6)</f>
        <v/>
      </c>
      <c r="K15" s="216">
        <f>IF(K6=0,0,K14/K6)</f>
        <v/>
      </c>
      <c r="L15" s="216">
        <f>IF(L6=0,0,L14/L6)</f>
        <v/>
      </c>
      <c r="M15" s="216">
        <f>IF(M6=0,0,M14/M6)</f>
        <v/>
      </c>
      <c r="N15" s="216">
        <f>IF(N6=0,0,N14/N6)</f>
        <v/>
      </c>
      <c r="O15" s="216">
        <f>IF(O6=0,0,O14/O6)</f>
        <v/>
      </c>
      <c r="P15" s="216">
        <f>IF(P6=0,0,P14/P6)</f>
        <v/>
      </c>
      <c r="Q15" s="216">
        <f>IF(Q6=0,0,Q14/Q6)</f>
        <v/>
      </c>
      <c r="R15" s="216">
        <f>IF(R6=0,0,R14/R6)</f>
        <v/>
      </c>
      <c r="S15" s="216">
        <f>IF(S6=0,0,S14/S6)</f>
        <v/>
      </c>
      <c r="T15" s="216">
        <f>IF(T6=0,0,T14/T6)</f>
        <v/>
      </c>
      <c r="U15" s="216">
        <f>IF(U6=0,0,U14/U6)</f>
        <v/>
      </c>
      <c r="V15" s="216">
        <f>IF(V6=0,0,V14/V6)</f>
        <v/>
      </c>
      <c r="W15" s="216">
        <f>IF(W6=0,0,W14/W6)</f>
        <v/>
      </c>
      <c r="X15" s="216">
        <f>IF(X6=0,0,X14/X6)</f>
        <v/>
      </c>
      <c r="Y15" s="216">
        <f>IF(Y6=0,0,Y14/Y6)</f>
        <v/>
      </c>
      <c r="Z15" s="216">
        <f>IF(Z6=0,0,Z14/Z6)</f>
        <v/>
      </c>
      <c r="AA15" s="216">
        <f>IF(AA6=0,0,AA14/AA6)</f>
        <v/>
      </c>
      <c r="AB15" s="216">
        <f>IF(AB6=0,0,AB14/AB6)</f>
        <v/>
      </c>
      <c r="AC15" s="216">
        <f>IF(AC6=0,0,AC14/AC6)</f>
        <v/>
      </c>
      <c r="AD15" s="216">
        <f>IF(AD6=0,0,AD14/AD6)</f>
        <v/>
      </c>
      <c r="AE15" s="216">
        <f>IF(AE6=0,0,AE14/AE6)</f>
        <v/>
      </c>
      <c r="AF15" s="216">
        <f>IF(AF6=0,0,AF14/AF6)</f>
        <v/>
      </c>
      <c r="AG15" s="216">
        <f>IF(AG6=0,0,AG14/AG6)</f>
        <v/>
      </c>
      <c r="AH15" s="216">
        <f>IF(AH6=0,0,AH14/AH6)</f>
        <v/>
      </c>
      <c r="AI15" s="216">
        <f>IF(AI6=0,0,AI14/AI6)</f>
        <v/>
      </c>
      <c r="AJ15" s="216">
        <f>IF(AJ6=0,0,AJ14/AJ6)</f>
        <v/>
      </c>
      <c r="AK15" s="216">
        <f>IF(AK6=0,0,AK14/AK6)</f>
        <v/>
      </c>
      <c r="AL15" s="216">
        <f>IF(AL6=0,0,AL14/AL6)</f>
        <v/>
      </c>
      <c r="AM15" s="216">
        <f>IF(AM6=0,0,AM14/AM6)</f>
        <v/>
      </c>
      <c r="AN15" s="216">
        <f>IF(AN6=0,0,AN14/AN6)</f>
        <v/>
      </c>
      <c r="AO15" s="216">
        <f>IF(AO6=0,0,AO14/AO6)</f>
        <v/>
      </c>
      <c r="AP15" s="216">
        <f>IF(AP6=0,0,AP14/AP6)</f>
        <v/>
      </c>
      <c r="AQ15" s="216">
        <f>IF(AQ6=0,0,AQ14/AQ6)</f>
        <v/>
      </c>
      <c r="AR15" s="216">
        <f>IF(AR6=0,0,AR14/AR6)</f>
        <v/>
      </c>
      <c r="AS15" s="216">
        <f>IF(AS6=0,0,AS14/AS6)</f>
        <v/>
      </c>
      <c r="AT15" s="216">
        <f>IF(AT6=0,0,AT14/AT6)</f>
        <v/>
      </c>
      <c r="AU15" s="216">
        <f>IF(AU6=0,0,AU14/AU6)</f>
        <v/>
      </c>
      <c r="AV15" s="216">
        <f>IF(AV6=0,0,AV14/AV6)</f>
        <v/>
      </c>
      <c r="AW15" s="216">
        <f>IF(AW6=0,0,AW14/AW6)</f>
        <v/>
      </c>
      <c r="AX15" s="216">
        <f>IF(AX6=0,0,AX14/AX6)</f>
        <v/>
      </c>
      <c r="AY15" s="216">
        <f>IF(AY6=0,0,AY14/AY6)</f>
        <v/>
      </c>
      <c r="AZ15" s="216">
        <f>IF(AZ6=0,0,AZ14/AZ6)</f>
        <v/>
      </c>
      <c r="BA15" s="216">
        <f>IF(BA6=0,0,BA14/BA6)</f>
        <v/>
      </c>
      <c r="BB15" s="216">
        <f>IF(BB6=0,0,BB14/BB6)</f>
        <v/>
      </c>
      <c r="BC15" s="216">
        <f>IF(BC6=0,0,BC14/BC6)</f>
        <v/>
      </c>
      <c r="BD15" s="216">
        <f>IF(BD6=0,0,BD14/BD6)</f>
        <v/>
      </c>
      <c r="BE15" s="216">
        <f>IF(BE6=0,0,BE14/BE6)</f>
        <v/>
      </c>
      <c r="BF15" s="216">
        <f>IF(BF6=0,0,BF14/BF6)</f>
        <v/>
      </c>
      <c r="BG15" s="216">
        <f>IF(BG6=0,0,BG14/BG6)</f>
        <v/>
      </c>
      <c r="BH15" s="216">
        <f>IF(BH6=0,0,BH14/BH6)</f>
        <v/>
      </c>
      <c r="BI15" s="216">
        <f>IF(BI6=0,0,BI14/BI6)</f>
        <v/>
      </c>
      <c r="BJ15" s="216">
        <f>IF(BJ6=0,0,BJ14/BJ6)</f>
        <v/>
      </c>
      <c r="BL15" s="217">
        <f>IF((C6+D6+E6+F6+G6+H6+I6+J6+K6+L6+M6+N6)=0,0,(C14+D14+E14+F14+G14+H14+I14+J14+K14+L14+M14+N14)/(C6+D6+E6+F6+G6+H6+I6+J6+K6+L6+M6+N6))</f>
        <v/>
      </c>
      <c r="BM15" s="217">
        <f>IF((O6+P6+Q6+R6+S6+T6+U6+V6+W6+X6+Y6+Z6)=0,0,(O14+P14+Q14+R14+S14+T14+U14+V14+W14+X14+Y14+Z14)/(O6+P6+Q6+R6+S6+T6+U6+V6+W6+X6+Y6+Z6))</f>
        <v/>
      </c>
      <c r="BN15" s="217">
        <f>IF((AA6+AB6+AC6+AD6+AE6+AF6+AG6+AH6+AI6+AJ6+AK6+AL6)=0,0,(AA14+AB14+AC14+AD14+AE14+AF14+AG14+AH14+AI14+AJ14+AK14+AL14)/(AA6+AB6+AC6+AD6+AE6+AF6+AG6+AH6+AI6+AJ6+AK6+AL6))</f>
        <v/>
      </c>
      <c r="BO15" s="217">
        <f>IF((AM6+AN6+AO6+AP6+AQ6+AR6+AS6+AT6+AU6+AV6+AW6+AX6)=0,0,(AM14+AN14+AO14+AP14+AQ14+AR14+AS14+AT14+AU14+AV14+AW14+AX14)/(AM6+AN6+AO6+AP6+AQ6+AR6+AS6+AT6+AU6+AV6+AW6+AX6))</f>
        <v/>
      </c>
      <c r="BP15" s="217">
        <f>IF((AY6+AZ6+BA6+BB6+BC6+BD6+BE6+BF6+BG6+BH6+BI6+BJ6)=0,0,(AY14+AZ14+BA14+BB14+BC14+BD14+BE14+BF14+BG14+BH14+BI14+BJ14)/(AY6+AZ6+BA6+BB6+BC6+BD6+BE6+BF6+BG6+BH6+BI6+BJ6))</f>
        <v/>
      </c>
    </row>
    <row r="16" ht="15" customHeight="1" s="104">
      <c r="A16" s="107" t="inlineStr">
        <is>
          <t>Insurance</t>
        </is>
      </c>
      <c r="C16" s="156">
        <f>C6*(Assumptions!B32+Assumptions!B33*0)</f>
        <v/>
      </c>
      <c r="D16" s="156">
        <f>D6*(Assumptions!B32+Assumptions!B33*0)</f>
        <v/>
      </c>
      <c r="E16" s="156">
        <f>E6*(Assumptions!B32+Assumptions!B33*0)</f>
        <v/>
      </c>
      <c r="F16" s="156">
        <f>F6*(Assumptions!B32+Assumptions!B33*0)</f>
        <v/>
      </c>
      <c r="G16" s="156">
        <f>G6*(Assumptions!B32+Assumptions!B33*0)</f>
        <v/>
      </c>
      <c r="H16" s="156">
        <f>H6*(Assumptions!B32+Assumptions!B33*0)</f>
        <v/>
      </c>
      <c r="I16" s="156">
        <f>I6*(Assumptions!B32+Assumptions!B33*0)</f>
        <v/>
      </c>
      <c r="J16" s="156">
        <f>J6*(Assumptions!B32+Assumptions!B33*0)</f>
        <v/>
      </c>
      <c r="K16" s="156">
        <f>K6*(Assumptions!B32+Assumptions!B33*0)</f>
        <v/>
      </c>
      <c r="L16" s="156">
        <f>L6*(Assumptions!B32+Assumptions!B33*0)</f>
        <v/>
      </c>
      <c r="M16" s="156">
        <f>M6*(Assumptions!B32+Assumptions!B33*0)</f>
        <v/>
      </c>
      <c r="N16" s="156">
        <f>N6*(Assumptions!B32+Assumptions!B33*0)</f>
        <v/>
      </c>
      <c r="O16" s="156">
        <f>O6*(Assumptions!B32+Assumptions!B33*1)</f>
        <v/>
      </c>
      <c r="P16" s="156">
        <f>P6*(Assumptions!B32+Assumptions!B33*1)</f>
        <v/>
      </c>
      <c r="Q16" s="156">
        <f>Q6*(Assumptions!B32+Assumptions!B33*1)</f>
        <v/>
      </c>
      <c r="R16" s="156">
        <f>R6*(Assumptions!B32+Assumptions!B33*1)</f>
        <v/>
      </c>
      <c r="S16" s="156">
        <f>S6*(Assumptions!B32+Assumptions!B33*1)</f>
        <v/>
      </c>
      <c r="T16" s="156">
        <f>T6*(Assumptions!B32+Assumptions!B33*1)</f>
        <v/>
      </c>
      <c r="U16" s="156">
        <f>U6*(Assumptions!B32+Assumptions!B33*1)</f>
        <v/>
      </c>
      <c r="V16" s="156">
        <f>V6*(Assumptions!B32+Assumptions!B33*1)</f>
        <v/>
      </c>
      <c r="W16" s="156">
        <f>W6*(Assumptions!B32+Assumptions!B33*1)</f>
        <v/>
      </c>
      <c r="X16" s="156">
        <f>X6*(Assumptions!B32+Assumptions!B33*1)</f>
        <v/>
      </c>
      <c r="Y16" s="156">
        <f>Y6*(Assumptions!B32+Assumptions!B33*1)</f>
        <v/>
      </c>
      <c r="Z16" s="156">
        <f>Z6*(Assumptions!B32+Assumptions!B33*1)</f>
        <v/>
      </c>
      <c r="AA16" s="156">
        <f>AA6*(Assumptions!B32+Assumptions!B33*2)</f>
        <v/>
      </c>
      <c r="AB16" s="156">
        <f>AB6*(Assumptions!B32+Assumptions!B33*2)</f>
        <v/>
      </c>
      <c r="AC16" s="156">
        <f>AC6*(Assumptions!B32+Assumptions!B33*2)</f>
        <v/>
      </c>
      <c r="AD16" s="156">
        <f>AD6*(Assumptions!B32+Assumptions!B33*2)</f>
        <v/>
      </c>
      <c r="AE16" s="156">
        <f>AE6*(Assumptions!B32+Assumptions!B33*2)</f>
        <v/>
      </c>
      <c r="AF16" s="156">
        <f>AF6*(Assumptions!B32+Assumptions!B33*2)</f>
        <v/>
      </c>
      <c r="AG16" s="156">
        <f>AG6*(Assumptions!B32+Assumptions!B33*2)</f>
        <v/>
      </c>
      <c r="AH16" s="156">
        <f>AH6*(Assumptions!B32+Assumptions!B33*2)</f>
        <v/>
      </c>
      <c r="AI16" s="156">
        <f>AI6*(Assumptions!B32+Assumptions!B33*2)</f>
        <v/>
      </c>
      <c r="AJ16" s="156">
        <f>AJ6*(Assumptions!B32+Assumptions!B33*2)</f>
        <v/>
      </c>
      <c r="AK16" s="156">
        <f>AK6*(Assumptions!B32+Assumptions!B33*2)</f>
        <v/>
      </c>
      <c r="AL16" s="156">
        <f>AL6*(Assumptions!B32+Assumptions!B33*2)</f>
        <v/>
      </c>
      <c r="AM16" s="156">
        <f>AM6*(Assumptions!B32+Assumptions!B33*3)</f>
        <v/>
      </c>
      <c r="AN16" s="156">
        <f>AN6*(Assumptions!B32+Assumptions!B33*3)</f>
        <v/>
      </c>
      <c r="AO16" s="156">
        <f>AO6*(Assumptions!B32+Assumptions!B33*3)</f>
        <v/>
      </c>
      <c r="AP16" s="156">
        <f>AP6*(Assumptions!B32+Assumptions!B33*3)</f>
        <v/>
      </c>
      <c r="AQ16" s="156">
        <f>AQ6*(Assumptions!B32+Assumptions!B33*3)</f>
        <v/>
      </c>
      <c r="AR16" s="156">
        <f>AR6*(Assumptions!B32+Assumptions!B33*3)</f>
        <v/>
      </c>
      <c r="AS16" s="156">
        <f>AS6*(Assumptions!B32+Assumptions!B33*3)</f>
        <v/>
      </c>
      <c r="AT16" s="156">
        <f>AT6*(Assumptions!B32+Assumptions!B33*3)</f>
        <v/>
      </c>
      <c r="AU16" s="156">
        <f>AU6*(Assumptions!B32+Assumptions!B33*3)</f>
        <v/>
      </c>
      <c r="AV16" s="156">
        <f>AV6*(Assumptions!B32+Assumptions!B33*3)</f>
        <v/>
      </c>
      <c r="AW16" s="156">
        <f>AW6*(Assumptions!B32+Assumptions!B33*3)</f>
        <v/>
      </c>
      <c r="AX16" s="156">
        <f>AX6*(Assumptions!B32+Assumptions!B33*3)</f>
        <v/>
      </c>
      <c r="AY16" s="156">
        <f>AY6*(Assumptions!B32+Assumptions!B33*4)</f>
        <v/>
      </c>
      <c r="AZ16" s="156">
        <f>AZ6*(Assumptions!B32+Assumptions!B33*4)</f>
        <v/>
      </c>
      <c r="BA16" s="156">
        <f>BA6*(Assumptions!B32+Assumptions!B33*4)</f>
        <v/>
      </c>
      <c r="BB16" s="156">
        <f>BB6*(Assumptions!B32+Assumptions!B33*4)</f>
        <v/>
      </c>
      <c r="BC16" s="156">
        <f>BC6*(Assumptions!B32+Assumptions!B33*4)</f>
        <v/>
      </c>
      <c r="BD16" s="156">
        <f>BD6*(Assumptions!B32+Assumptions!B33*4)</f>
        <v/>
      </c>
      <c r="BE16" s="156">
        <f>BE6*(Assumptions!B32+Assumptions!B33*4)</f>
        <v/>
      </c>
      <c r="BF16" s="156">
        <f>BF6*(Assumptions!B32+Assumptions!B33*4)</f>
        <v/>
      </c>
      <c r="BG16" s="156">
        <f>BG6*(Assumptions!B32+Assumptions!B33*4)</f>
        <v/>
      </c>
      <c r="BH16" s="156">
        <f>BH6*(Assumptions!B32+Assumptions!B33*4)</f>
        <v/>
      </c>
      <c r="BI16" s="156">
        <f>BI6*(Assumptions!B32+Assumptions!B33*4)</f>
        <v/>
      </c>
      <c r="BJ16" s="156">
        <f>BJ6*(Assumptions!B32+Assumptions!B33*4)</f>
        <v/>
      </c>
      <c r="BL16" s="157">
        <f>C16+D16+E16+F16+G16+H16+I16+J16+K16+L16+M16+N16</f>
        <v/>
      </c>
      <c r="BM16" s="157">
        <f>O16+P16+Q16+R16+S16+T16+U16+V16+W16+X16+Y16+Z16</f>
        <v/>
      </c>
      <c r="BN16" s="157">
        <f>AA16+AB16+AC16+AD16+AE16+AF16+AG16+AH16+AI16+AJ16+AK16+AL16</f>
        <v/>
      </c>
      <c r="BO16" s="157">
        <f>AM16+AN16+AO16+AP16+AQ16+AR16+AS16+AT16+AU16+AV16+AW16+AX16</f>
        <v/>
      </c>
      <c r="BP16" s="157">
        <f>AY16+AZ16+BA16+BB16+BC16+BD16+BE16+BF16+BG16+BH16+BI16+BJ16</f>
        <v/>
      </c>
    </row>
    <row r="17" ht="15" customHeight="1" s="104">
      <c r="A17" s="215" t="inlineStr">
        <is>
          <t xml:space="preserve">    % of Revenue</t>
        </is>
      </c>
      <c r="C17" s="216">
        <f>IF(C6=0,0,C16/C6)</f>
        <v/>
      </c>
      <c r="D17" s="216">
        <f>IF(D6=0,0,D16/D6)</f>
        <v/>
      </c>
      <c r="E17" s="216">
        <f>IF(E6=0,0,E16/E6)</f>
        <v/>
      </c>
      <c r="F17" s="216">
        <f>IF(F6=0,0,F16/F6)</f>
        <v/>
      </c>
      <c r="G17" s="216">
        <f>IF(G6=0,0,G16/G6)</f>
        <v/>
      </c>
      <c r="H17" s="216">
        <f>IF(H6=0,0,H16/H6)</f>
        <v/>
      </c>
      <c r="I17" s="216">
        <f>IF(I6=0,0,I16/I6)</f>
        <v/>
      </c>
      <c r="J17" s="216">
        <f>IF(J6=0,0,J16/J6)</f>
        <v/>
      </c>
      <c r="K17" s="216">
        <f>IF(K6=0,0,K16/K6)</f>
        <v/>
      </c>
      <c r="L17" s="216">
        <f>IF(L6=0,0,L16/L6)</f>
        <v/>
      </c>
      <c r="M17" s="216">
        <f>IF(M6=0,0,M16/M6)</f>
        <v/>
      </c>
      <c r="N17" s="216">
        <f>IF(N6=0,0,N16/N6)</f>
        <v/>
      </c>
      <c r="O17" s="216">
        <f>IF(O6=0,0,O16/O6)</f>
        <v/>
      </c>
      <c r="P17" s="216">
        <f>IF(P6=0,0,P16/P6)</f>
        <v/>
      </c>
      <c r="Q17" s="216">
        <f>IF(Q6=0,0,Q16/Q6)</f>
        <v/>
      </c>
      <c r="R17" s="216">
        <f>IF(R6=0,0,R16/R6)</f>
        <v/>
      </c>
      <c r="S17" s="216">
        <f>IF(S6=0,0,S16/S6)</f>
        <v/>
      </c>
      <c r="T17" s="216">
        <f>IF(T6=0,0,T16/T6)</f>
        <v/>
      </c>
      <c r="U17" s="216">
        <f>IF(U6=0,0,U16/U6)</f>
        <v/>
      </c>
      <c r="V17" s="216">
        <f>IF(V6=0,0,V16/V6)</f>
        <v/>
      </c>
      <c r="W17" s="216">
        <f>IF(W6=0,0,W16/W6)</f>
        <v/>
      </c>
      <c r="X17" s="216">
        <f>IF(X6=0,0,X16/X6)</f>
        <v/>
      </c>
      <c r="Y17" s="216">
        <f>IF(Y6=0,0,Y16/Y6)</f>
        <v/>
      </c>
      <c r="Z17" s="216">
        <f>IF(Z6=0,0,Z16/Z6)</f>
        <v/>
      </c>
      <c r="AA17" s="216">
        <f>IF(AA6=0,0,AA16/AA6)</f>
        <v/>
      </c>
      <c r="AB17" s="216">
        <f>IF(AB6=0,0,AB16/AB6)</f>
        <v/>
      </c>
      <c r="AC17" s="216">
        <f>IF(AC6=0,0,AC16/AC6)</f>
        <v/>
      </c>
      <c r="AD17" s="216">
        <f>IF(AD6=0,0,AD16/AD6)</f>
        <v/>
      </c>
      <c r="AE17" s="216">
        <f>IF(AE6=0,0,AE16/AE6)</f>
        <v/>
      </c>
      <c r="AF17" s="216">
        <f>IF(AF6=0,0,AF16/AF6)</f>
        <v/>
      </c>
      <c r="AG17" s="216">
        <f>IF(AG6=0,0,AG16/AG6)</f>
        <v/>
      </c>
      <c r="AH17" s="216">
        <f>IF(AH6=0,0,AH16/AH6)</f>
        <v/>
      </c>
      <c r="AI17" s="216">
        <f>IF(AI6=0,0,AI16/AI6)</f>
        <v/>
      </c>
      <c r="AJ17" s="216">
        <f>IF(AJ6=0,0,AJ16/AJ6)</f>
        <v/>
      </c>
      <c r="AK17" s="216">
        <f>IF(AK6=0,0,AK16/AK6)</f>
        <v/>
      </c>
      <c r="AL17" s="216">
        <f>IF(AL6=0,0,AL16/AL6)</f>
        <v/>
      </c>
      <c r="AM17" s="216">
        <f>IF(AM6=0,0,AM16/AM6)</f>
        <v/>
      </c>
      <c r="AN17" s="216">
        <f>IF(AN6=0,0,AN16/AN6)</f>
        <v/>
      </c>
      <c r="AO17" s="216">
        <f>IF(AO6=0,0,AO16/AO6)</f>
        <v/>
      </c>
      <c r="AP17" s="216">
        <f>IF(AP6=0,0,AP16/AP6)</f>
        <v/>
      </c>
      <c r="AQ17" s="216">
        <f>IF(AQ6=0,0,AQ16/AQ6)</f>
        <v/>
      </c>
      <c r="AR17" s="216">
        <f>IF(AR6=0,0,AR16/AR6)</f>
        <v/>
      </c>
      <c r="AS17" s="216">
        <f>IF(AS6=0,0,AS16/AS6)</f>
        <v/>
      </c>
      <c r="AT17" s="216">
        <f>IF(AT6=0,0,AT16/AT6)</f>
        <v/>
      </c>
      <c r="AU17" s="216">
        <f>IF(AU6=0,0,AU16/AU6)</f>
        <v/>
      </c>
      <c r="AV17" s="216">
        <f>IF(AV6=0,0,AV16/AV6)</f>
        <v/>
      </c>
      <c r="AW17" s="216">
        <f>IF(AW6=0,0,AW16/AW6)</f>
        <v/>
      </c>
      <c r="AX17" s="216">
        <f>IF(AX6=0,0,AX16/AX6)</f>
        <v/>
      </c>
      <c r="AY17" s="216">
        <f>IF(AY6=0,0,AY16/AY6)</f>
        <v/>
      </c>
      <c r="AZ17" s="216">
        <f>IF(AZ6=0,0,AZ16/AZ6)</f>
        <v/>
      </c>
      <c r="BA17" s="216">
        <f>IF(BA6=0,0,BA16/BA6)</f>
        <v/>
      </c>
      <c r="BB17" s="216">
        <f>IF(BB6=0,0,BB16/BB6)</f>
        <v/>
      </c>
      <c r="BC17" s="216">
        <f>IF(BC6=0,0,BC16/BC6)</f>
        <v/>
      </c>
      <c r="BD17" s="216">
        <f>IF(BD6=0,0,BD16/BD6)</f>
        <v/>
      </c>
      <c r="BE17" s="216">
        <f>IF(BE6=0,0,BE16/BE6)</f>
        <v/>
      </c>
      <c r="BF17" s="216">
        <f>IF(BF6=0,0,BF16/BF6)</f>
        <v/>
      </c>
      <c r="BG17" s="216">
        <f>IF(BG6=0,0,BG16/BG6)</f>
        <v/>
      </c>
      <c r="BH17" s="216">
        <f>IF(BH6=0,0,BH16/BH6)</f>
        <v/>
      </c>
      <c r="BI17" s="216">
        <f>IF(BI6=0,0,BI16/BI6)</f>
        <v/>
      </c>
      <c r="BJ17" s="216">
        <f>IF(BJ6=0,0,BJ16/BJ6)</f>
        <v/>
      </c>
      <c r="BL17" s="217">
        <f>IF((C6+D6+E6+F6+G6+H6+I6+J6+K6+L6+M6+N6)=0,0,(C16+D16+E16+F16+G16+H16+I16+J16+K16+L16+M16+N16)/(C6+D6+E6+F6+G6+H6+I6+J6+K6+L6+M6+N6))</f>
        <v/>
      </c>
      <c r="BM17" s="217">
        <f>IF((O6+P6+Q6+R6+S6+T6+U6+V6+W6+X6+Y6+Z6)=0,0,(O16+P16+Q16+R16+S16+T16+U16+V16+W16+X16+Y16+Z16)/(O6+P6+Q6+R6+S6+T6+U6+V6+W6+X6+Y6+Z6))</f>
        <v/>
      </c>
      <c r="BN17" s="217">
        <f>IF((AA6+AB6+AC6+AD6+AE6+AF6+AG6+AH6+AI6+AJ6+AK6+AL6)=0,0,(AA16+AB16+AC16+AD16+AE16+AF16+AG16+AH16+AI16+AJ16+AK16+AL16)/(AA6+AB6+AC6+AD6+AE6+AF6+AG6+AH6+AI6+AJ6+AK6+AL6))</f>
        <v/>
      </c>
      <c r="BO17" s="217">
        <f>IF((AM6+AN6+AO6+AP6+AQ6+AR6+AS6+AT6+AU6+AV6+AW6+AX6)=0,0,(AM16+AN16+AO16+AP16+AQ16+AR16+AS16+AT16+AU16+AV16+AW16+AX16)/(AM6+AN6+AO6+AP6+AQ6+AR6+AS6+AT6+AU6+AV6+AW6+AX6))</f>
        <v/>
      </c>
      <c r="BP17" s="217">
        <f>IF((AY6+AZ6+BA6+BB6+BC6+BD6+BE6+BF6+BG6+BH6+BI6+BJ6)=0,0,(AY16+AZ16+BA16+BB16+BC16+BD16+BE16+BF16+BG16+BH16+BI16+BJ16)/(AY6+AZ6+BA6+BB6+BC6+BD6+BE6+BF6+BG6+BH6+BI6+BJ6))</f>
        <v/>
      </c>
    </row>
    <row r="18" ht="15" customHeight="1" s="104">
      <c r="A18" s="107" t="inlineStr">
        <is>
          <t>Other Operating Expenses</t>
        </is>
      </c>
      <c r="C18" s="156">
        <f>C6*(Assumptions!B34+Assumptions!B35*0)</f>
        <v/>
      </c>
      <c r="D18" s="156">
        <f>D6*(Assumptions!B34+Assumptions!B35*0)</f>
        <v/>
      </c>
      <c r="E18" s="156">
        <f>E6*(Assumptions!B34+Assumptions!B35*0)</f>
        <v/>
      </c>
      <c r="F18" s="156">
        <f>F6*(Assumptions!B34+Assumptions!B35*0)</f>
        <v/>
      </c>
      <c r="G18" s="156">
        <f>G6*(Assumptions!B34+Assumptions!B35*0)</f>
        <v/>
      </c>
      <c r="H18" s="156">
        <f>H6*(Assumptions!B34+Assumptions!B35*0)</f>
        <v/>
      </c>
      <c r="I18" s="156">
        <f>I6*(Assumptions!B34+Assumptions!B35*0)</f>
        <v/>
      </c>
      <c r="J18" s="156">
        <f>J6*(Assumptions!B34+Assumptions!B35*0)</f>
        <v/>
      </c>
      <c r="K18" s="156">
        <f>K6*(Assumptions!B34+Assumptions!B35*0)</f>
        <v/>
      </c>
      <c r="L18" s="156">
        <f>L6*(Assumptions!B34+Assumptions!B35*0)</f>
        <v/>
      </c>
      <c r="M18" s="156">
        <f>M6*(Assumptions!B34+Assumptions!B35*0)</f>
        <v/>
      </c>
      <c r="N18" s="156">
        <f>N6*(Assumptions!B34+Assumptions!B35*0)</f>
        <v/>
      </c>
      <c r="O18" s="156">
        <f>O6*(Assumptions!B34+Assumptions!B35*1)</f>
        <v/>
      </c>
      <c r="P18" s="156">
        <f>P6*(Assumptions!B34+Assumptions!B35*1)</f>
        <v/>
      </c>
      <c r="Q18" s="156">
        <f>Q6*(Assumptions!B34+Assumptions!B35*1)</f>
        <v/>
      </c>
      <c r="R18" s="156">
        <f>R6*(Assumptions!B34+Assumptions!B35*1)</f>
        <v/>
      </c>
      <c r="S18" s="156">
        <f>S6*(Assumptions!B34+Assumptions!B35*1)</f>
        <v/>
      </c>
      <c r="T18" s="156">
        <f>T6*(Assumptions!B34+Assumptions!B35*1)</f>
        <v/>
      </c>
      <c r="U18" s="156">
        <f>U6*(Assumptions!B34+Assumptions!B35*1)</f>
        <v/>
      </c>
      <c r="V18" s="156">
        <f>V6*(Assumptions!B34+Assumptions!B35*1)</f>
        <v/>
      </c>
      <c r="W18" s="156">
        <f>W6*(Assumptions!B34+Assumptions!B35*1)</f>
        <v/>
      </c>
      <c r="X18" s="156">
        <f>X6*(Assumptions!B34+Assumptions!B35*1)</f>
        <v/>
      </c>
      <c r="Y18" s="156">
        <f>Y6*(Assumptions!B34+Assumptions!B35*1)</f>
        <v/>
      </c>
      <c r="Z18" s="156">
        <f>Z6*(Assumptions!B34+Assumptions!B35*1)</f>
        <v/>
      </c>
      <c r="AA18" s="156">
        <f>AA6*(Assumptions!B34+Assumptions!B35*2)</f>
        <v/>
      </c>
      <c r="AB18" s="156">
        <f>AB6*(Assumptions!B34+Assumptions!B35*2)</f>
        <v/>
      </c>
      <c r="AC18" s="156">
        <f>AC6*(Assumptions!B34+Assumptions!B35*2)</f>
        <v/>
      </c>
      <c r="AD18" s="156">
        <f>AD6*(Assumptions!B34+Assumptions!B35*2)</f>
        <v/>
      </c>
      <c r="AE18" s="156">
        <f>AE6*(Assumptions!B34+Assumptions!B35*2)</f>
        <v/>
      </c>
      <c r="AF18" s="156">
        <f>AF6*(Assumptions!B34+Assumptions!B35*2)</f>
        <v/>
      </c>
      <c r="AG18" s="156">
        <f>AG6*(Assumptions!B34+Assumptions!B35*2)</f>
        <v/>
      </c>
      <c r="AH18" s="156">
        <f>AH6*(Assumptions!B34+Assumptions!B35*2)</f>
        <v/>
      </c>
      <c r="AI18" s="156">
        <f>AI6*(Assumptions!B34+Assumptions!B35*2)</f>
        <v/>
      </c>
      <c r="AJ18" s="156">
        <f>AJ6*(Assumptions!B34+Assumptions!B35*2)</f>
        <v/>
      </c>
      <c r="AK18" s="156">
        <f>AK6*(Assumptions!B34+Assumptions!B35*2)</f>
        <v/>
      </c>
      <c r="AL18" s="156">
        <f>AL6*(Assumptions!B34+Assumptions!B35*2)</f>
        <v/>
      </c>
      <c r="AM18" s="156">
        <f>AM6*(Assumptions!B34+Assumptions!B35*3)</f>
        <v/>
      </c>
      <c r="AN18" s="156">
        <f>AN6*(Assumptions!B34+Assumptions!B35*3)</f>
        <v/>
      </c>
      <c r="AO18" s="156">
        <f>AO6*(Assumptions!B34+Assumptions!B35*3)</f>
        <v/>
      </c>
      <c r="AP18" s="156">
        <f>AP6*(Assumptions!B34+Assumptions!B35*3)</f>
        <v/>
      </c>
      <c r="AQ18" s="156">
        <f>AQ6*(Assumptions!B34+Assumptions!B35*3)</f>
        <v/>
      </c>
      <c r="AR18" s="156">
        <f>AR6*(Assumptions!B34+Assumptions!B35*3)</f>
        <v/>
      </c>
      <c r="AS18" s="156">
        <f>AS6*(Assumptions!B34+Assumptions!B35*3)</f>
        <v/>
      </c>
      <c r="AT18" s="156">
        <f>AT6*(Assumptions!B34+Assumptions!B35*3)</f>
        <v/>
      </c>
      <c r="AU18" s="156">
        <f>AU6*(Assumptions!B34+Assumptions!B35*3)</f>
        <v/>
      </c>
      <c r="AV18" s="156">
        <f>AV6*(Assumptions!B34+Assumptions!B35*3)</f>
        <v/>
      </c>
      <c r="AW18" s="156">
        <f>AW6*(Assumptions!B34+Assumptions!B35*3)</f>
        <v/>
      </c>
      <c r="AX18" s="156">
        <f>AX6*(Assumptions!B34+Assumptions!B35*3)</f>
        <v/>
      </c>
      <c r="AY18" s="156">
        <f>AY6*(Assumptions!B34+Assumptions!B35*4)</f>
        <v/>
      </c>
      <c r="AZ18" s="156">
        <f>AZ6*(Assumptions!B34+Assumptions!B35*4)</f>
        <v/>
      </c>
      <c r="BA18" s="156">
        <f>BA6*(Assumptions!B34+Assumptions!B35*4)</f>
        <v/>
      </c>
      <c r="BB18" s="156">
        <f>BB6*(Assumptions!B34+Assumptions!B35*4)</f>
        <v/>
      </c>
      <c r="BC18" s="156">
        <f>BC6*(Assumptions!B34+Assumptions!B35*4)</f>
        <v/>
      </c>
      <c r="BD18" s="156">
        <f>BD6*(Assumptions!B34+Assumptions!B35*4)</f>
        <v/>
      </c>
      <c r="BE18" s="156">
        <f>BE6*(Assumptions!B34+Assumptions!B35*4)</f>
        <v/>
      </c>
      <c r="BF18" s="156">
        <f>BF6*(Assumptions!B34+Assumptions!B35*4)</f>
        <v/>
      </c>
      <c r="BG18" s="156">
        <f>BG6*(Assumptions!B34+Assumptions!B35*4)</f>
        <v/>
      </c>
      <c r="BH18" s="156">
        <f>BH6*(Assumptions!B34+Assumptions!B35*4)</f>
        <v/>
      </c>
      <c r="BI18" s="156">
        <f>BI6*(Assumptions!B34+Assumptions!B35*4)</f>
        <v/>
      </c>
      <c r="BJ18" s="156">
        <f>BJ6*(Assumptions!B34+Assumptions!B35*4)</f>
        <v/>
      </c>
      <c r="BL18" s="157">
        <f>C18+D18+E18+F18+G18+H18+I18+J18+K18+L18+M18+N18</f>
        <v/>
      </c>
      <c r="BM18" s="157">
        <f>O18+P18+Q18+R18+S18+T18+U18+V18+W18+X18+Y18+Z18</f>
        <v/>
      </c>
      <c r="BN18" s="157">
        <f>AA18+AB18+AC18+AD18+AE18+AF18+AG18+AH18+AI18+AJ18+AK18+AL18</f>
        <v/>
      </c>
      <c r="BO18" s="157">
        <f>AM18+AN18+AO18+AP18+AQ18+AR18+AS18+AT18+AU18+AV18+AW18+AX18</f>
        <v/>
      </c>
      <c r="BP18" s="157">
        <f>AY18+AZ18+BA18+BB18+BC18+BD18+BE18+BF18+BG18+BH18+BI18+BJ18</f>
        <v/>
      </c>
    </row>
    <row r="19" ht="15" customHeight="1" s="104">
      <c r="A19" s="215" t="inlineStr">
        <is>
          <t xml:space="preserve">    % of Revenue</t>
        </is>
      </c>
      <c r="C19" s="216">
        <f>IF(C6=0,0,C18/C6)</f>
        <v/>
      </c>
      <c r="D19" s="216">
        <f>IF(D6=0,0,D18/D6)</f>
        <v/>
      </c>
      <c r="E19" s="216">
        <f>IF(E6=0,0,E18/E6)</f>
        <v/>
      </c>
      <c r="F19" s="216">
        <f>IF(F6=0,0,F18/F6)</f>
        <v/>
      </c>
      <c r="G19" s="216">
        <f>IF(G6=0,0,G18/G6)</f>
        <v/>
      </c>
      <c r="H19" s="216">
        <f>IF(H6=0,0,H18/H6)</f>
        <v/>
      </c>
      <c r="I19" s="216">
        <f>IF(I6=0,0,I18/I6)</f>
        <v/>
      </c>
      <c r="J19" s="216">
        <f>IF(J6=0,0,J18/J6)</f>
        <v/>
      </c>
      <c r="K19" s="216">
        <f>IF(K6=0,0,K18/K6)</f>
        <v/>
      </c>
      <c r="L19" s="216">
        <f>IF(L6=0,0,L18/L6)</f>
        <v/>
      </c>
      <c r="M19" s="216">
        <f>IF(M6=0,0,M18/M6)</f>
        <v/>
      </c>
      <c r="N19" s="216">
        <f>IF(N6=0,0,N18/N6)</f>
        <v/>
      </c>
      <c r="O19" s="216">
        <f>IF(O6=0,0,O18/O6)</f>
        <v/>
      </c>
      <c r="P19" s="216">
        <f>IF(P6=0,0,P18/P6)</f>
        <v/>
      </c>
      <c r="Q19" s="216">
        <f>IF(Q6=0,0,Q18/Q6)</f>
        <v/>
      </c>
      <c r="R19" s="216">
        <f>IF(R6=0,0,R18/R6)</f>
        <v/>
      </c>
      <c r="S19" s="216">
        <f>IF(S6=0,0,S18/S6)</f>
        <v/>
      </c>
      <c r="T19" s="216">
        <f>IF(T6=0,0,T18/T6)</f>
        <v/>
      </c>
      <c r="U19" s="216">
        <f>IF(U6=0,0,U18/U6)</f>
        <v/>
      </c>
      <c r="V19" s="216">
        <f>IF(V6=0,0,V18/V6)</f>
        <v/>
      </c>
      <c r="W19" s="216">
        <f>IF(W6=0,0,W18/W6)</f>
        <v/>
      </c>
      <c r="X19" s="216">
        <f>IF(X6=0,0,X18/X6)</f>
        <v/>
      </c>
      <c r="Y19" s="216">
        <f>IF(Y6=0,0,Y18/Y6)</f>
        <v/>
      </c>
      <c r="Z19" s="216">
        <f>IF(Z6=0,0,Z18/Z6)</f>
        <v/>
      </c>
      <c r="AA19" s="216">
        <f>IF(AA6=0,0,AA18/AA6)</f>
        <v/>
      </c>
      <c r="AB19" s="216">
        <f>IF(AB6=0,0,AB18/AB6)</f>
        <v/>
      </c>
      <c r="AC19" s="216">
        <f>IF(AC6=0,0,AC18/AC6)</f>
        <v/>
      </c>
      <c r="AD19" s="216">
        <f>IF(AD6=0,0,AD18/AD6)</f>
        <v/>
      </c>
      <c r="AE19" s="216">
        <f>IF(AE6=0,0,AE18/AE6)</f>
        <v/>
      </c>
      <c r="AF19" s="216">
        <f>IF(AF6=0,0,AF18/AF6)</f>
        <v/>
      </c>
      <c r="AG19" s="216">
        <f>IF(AG6=0,0,AG18/AG6)</f>
        <v/>
      </c>
      <c r="AH19" s="216">
        <f>IF(AH6=0,0,AH18/AH6)</f>
        <v/>
      </c>
      <c r="AI19" s="216">
        <f>IF(AI6=0,0,AI18/AI6)</f>
        <v/>
      </c>
      <c r="AJ19" s="216">
        <f>IF(AJ6=0,0,AJ18/AJ6)</f>
        <v/>
      </c>
      <c r="AK19" s="216">
        <f>IF(AK6=0,0,AK18/AK6)</f>
        <v/>
      </c>
      <c r="AL19" s="216">
        <f>IF(AL6=0,0,AL18/AL6)</f>
        <v/>
      </c>
      <c r="AM19" s="216">
        <f>IF(AM6=0,0,AM18/AM6)</f>
        <v/>
      </c>
      <c r="AN19" s="216">
        <f>IF(AN6=0,0,AN18/AN6)</f>
        <v/>
      </c>
      <c r="AO19" s="216">
        <f>IF(AO6=0,0,AO18/AO6)</f>
        <v/>
      </c>
      <c r="AP19" s="216">
        <f>IF(AP6=0,0,AP18/AP6)</f>
        <v/>
      </c>
      <c r="AQ19" s="216">
        <f>IF(AQ6=0,0,AQ18/AQ6)</f>
        <v/>
      </c>
      <c r="AR19" s="216">
        <f>IF(AR6=0,0,AR18/AR6)</f>
        <v/>
      </c>
      <c r="AS19" s="216">
        <f>IF(AS6=0,0,AS18/AS6)</f>
        <v/>
      </c>
      <c r="AT19" s="216">
        <f>IF(AT6=0,0,AT18/AT6)</f>
        <v/>
      </c>
      <c r="AU19" s="216">
        <f>IF(AU6=0,0,AU18/AU6)</f>
        <v/>
      </c>
      <c r="AV19" s="216">
        <f>IF(AV6=0,0,AV18/AV6)</f>
        <v/>
      </c>
      <c r="AW19" s="216">
        <f>IF(AW6=0,0,AW18/AW6)</f>
        <v/>
      </c>
      <c r="AX19" s="216">
        <f>IF(AX6=0,0,AX18/AX6)</f>
        <v/>
      </c>
      <c r="AY19" s="216">
        <f>IF(AY6=0,0,AY18/AY6)</f>
        <v/>
      </c>
      <c r="AZ19" s="216">
        <f>IF(AZ6=0,0,AZ18/AZ6)</f>
        <v/>
      </c>
      <c r="BA19" s="216">
        <f>IF(BA6=0,0,BA18/BA6)</f>
        <v/>
      </c>
      <c r="BB19" s="216">
        <f>IF(BB6=0,0,BB18/BB6)</f>
        <v/>
      </c>
      <c r="BC19" s="216">
        <f>IF(BC6=0,0,BC18/BC6)</f>
        <v/>
      </c>
      <c r="BD19" s="216">
        <f>IF(BD6=0,0,BD18/BD6)</f>
        <v/>
      </c>
      <c r="BE19" s="216">
        <f>IF(BE6=0,0,BE18/BE6)</f>
        <v/>
      </c>
      <c r="BF19" s="216">
        <f>IF(BF6=0,0,BF18/BF6)</f>
        <v/>
      </c>
      <c r="BG19" s="216">
        <f>IF(BG6=0,0,BG18/BG6)</f>
        <v/>
      </c>
      <c r="BH19" s="216">
        <f>IF(BH6=0,0,BH18/BH6)</f>
        <v/>
      </c>
      <c r="BI19" s="216">
        <f>IF(BI6=0,0,BI18/BI6)</f>
        <v/>
      </c>
      <c r="BJ19" s="216">
        <f>IF(BJ6=0,0,BJ18/BJ6)</f>
        <v/>
      </c>
      <c r="BL19" s="217">
        <f>IF((C6+D6+E6+F6+G6+H6+I6+J6+K6+L6+M6+N6)=0,0,(C18+D18+E18+F18+G18+H18+I18+J18+K18+L18+M18+N18)/(C6+D6+E6+F6+G6+H6+I6+J6+K6+L6+M6+N6))</f>
        <v/>
      </c>
      <c r="BM19" s="217">
        <f>IF((O6+P6+Q6+R6+S6+T6+U6+V6+W6+X6+Y6+Z6)=0,0,(O18+P18+Q18+R18+S18+T18+U18+V18+W18+X18+Y18+Z18)/(O6+P6+Q6+R6+S6+T6+U6+V6+W6+X6+Y6+Z6))</f>
        <v/>
      </c>
      <c r="BN19" s="217">
        <f>IF((AA6+AB6+AC6+AD6+AE6+AF6+AG6+AH6+AI6+AJ6+AK6+AL6)=0,0,(AA18+AB18+AC18+AD18+AE18+AF18+AG18+AH18+AI18+AJ18+AK18+AL18)/(AA6+AB6+AC6+AD6+AE6+AF6+AG6+AH6+AI6+AJ6+AK6+AL6))</f>
        <v/>
      </c>
      <c r="BO19" s="217">
        <f>IF((AM6+AN6+AO6+AP6+AQ6+AR6+AS6+AT6+AU6+AV6+AW6+AX6)=0,0,(AM18+AN18+AO18+AP18+AQ18+AR18+AS18+AT18+AU18+AV18+AW18+AX18)/(AM6+AN6+AO6+AP6+AQ6+AR6+AS6+AT6+AU6+AV6+AW6+AX6))</f>
        <v/>
      </c>
      <c r="BP19" s="217">
        <f>IF((AY6+AZ6+BA6+BB6+BC6+BD6+BE6+BF6+BG6+BH6+BI6+BJ6)=0,0,(AY18+AZ18+BA18+BB18+BC18+BD18+BE18+BF18+BG18+BH18+BI18+BJ18)/(AY6+AZ6+BA6+BB6+BC6+BD6+BE6+BF6+BG6+BH6+BI6+BJ6))</f>
        <v/>
      </c>
    </row>
    <row r="20" ht="15" customHeight="1" s="104">
      <c r="A20" s="116" t="inlineStr">
        <is>
          <t>Total Operating Expenses</t>
        </is>
      </c>
      <c r="C20" s="151">
        <f>C8+C10+C12+C14+C16+C18</f>
        <v/>
      </c>
      <c r="D20" s="151">
        <f>D8+D10+D12+D14+D16+D18</f>
        <v/>
      </c>
      <c r="E20" s="151">
        <f>E8+E10+E12+E14+E16+E18</f>
        <v/>
      </c>
      <c r="F20" s="151">
        <f>F8+F10+F12+F14+F16+F18</f>
        <v/>
      </c>
      <c r="G20" s="151">
        <f>G8+G10+G12+G14+G16+G18</f>
        <v/>
      </c>
      <c r="H20" s="151">
        <f>H8+H10+H12+H14+H16+H18</f>
        <v/>
      </c>
      <c r="I20" s="151">
        <f>I8+I10+I12+I14+I16+I18</f>
        <v/>
      </c>
      <c r="J20" s="151">
        <f>J8+J10+J12+J14+J16+J18</f>
        <v/>
      </c>
      <c r="K20" s="151">
        <f>K8+K10+K12+K14+K16+K18</f>
        <v/>
      </c>
      <c r="L20" s="151">
        <f>L8+L10+L12+L14+L16+L18</f>
        <v/>
      </c>
      <c r="M20" s="151">
        <f>M8+M10+M12+M14+M16+M18</f>
        <v/>
      </c>
      <c r="N20" s="151">
        <f>N8+N10+N12+N14+N16+N18</f>
        <v/>
      </c>
      <c r="O20" s="151">
        <f>O8+O10+O12+O14+O16+O18</f>
        <v/>
      </c>
      <c r="P20" s="151">
        <f>P8+P10+P12+P14+P16+P18</f>
        <v/>
      </c>
      <c r="Q20" s="151">
        <f>Q8+Q10+Q12+Q14+Q16+Q18</f>
        <v/>
      </c>
      <c r="R20" s="151">
        <f>R8+R10+R12+R14+R16+R18</f>
        <v/>
      </c>
      <c r="S20" s="151">
        <f>S8+S10+S12+S14+S16+S18</f>
        <v/>
      </c>
      <c r="T20" s="151">
        <f>T8+T10+T12+T14+T16+T18</f>
        <v/>
      </c>
      <c r="U20" s="151">
        <f>U8+U10+U12+U14+U16+U18</f>
        <v/>
      </c>
      <c r="V20" s="151">
        <f>V8+V10+V12+V14+V16+V18</f>
        <v/>
      </c>
      <c r="W20" s="151">
        <f>W8+W10+W12+W14+W16+W18</f>
        <v/>
      </c>
      <c r="X20" s="151">
        <f>X8+X10+X12+X14+X16+X18</f>
        <v/>
      </c>
      <c r="Y20" s="151">
        <f>Y8+Y10+Y12+Y14+Y16+Y18</f>
        <v/>
      </c>
      <c r="Z20" s="151">
        <f>Z8+Z10+Z12+Z14+Z16+Z18</f>
        <v/>
      </c>
      <c r="AA20" s="151">
        <f>AA8+AA10+AA12+AA14+AA16+AA18</f>
        <v/>
      </c>
      <c r="AB20" s="151">
        <f>AB8+AB10+AB12+AB14+AB16+AB18</f>
        <v/>
      </c>
      <c r="AC20" s="151">
        <f>AC8+AC10+AC12+AC14+AC16+AC18</f>
        <v/>
      </c>
      <c r="AD20" s="151">
        <f>AD8+AD10+AD12+AD14+AD16+AD18</f>
        <v/>
      </c>
      <c r="AE20" s="151">
        <f>AE8+AE10+AE12+AE14+AE16+AE18</f>
        <v/>
      </c>
      <c r="AF20" s="151">
        <f>AF8+AF10+AF12+AF14+AF16+AF18</f>
        <v/>
      </c>
      <c r="AG20" s="151">
        <f>AG8+AG10+AG12+AG14+AG16+AG18</f>
        <v/>
      </c>
      <c r="AH20" s="151">
        <f>AH8+AH10+AH12+AH14+AH16+AH18</f>
        <v/>
      </c>
      <c r="AI20" s="151">
        <f>AI8+AI10+AI12+AI14+AI16+AI18</f>
        <v/>
      </c>
      <c r="AJ20" s="151">
        <f>AJ8+AJ10+AJ12+AJ14+AJ16+AJ18</f>
        <v/>
      </c>
      <c r="AK20" s="151">
        <f>AK8+AK10+AK12+AK14+AK16+AK18</f>
        <v/>
      </c>
      <c r="AL20" s="151">
        <f>AL8+AL10+AL12+AL14+AL16+AL18</f>
        <v/>
      </c>
      <c r="AM20" s="151">
        <f>AM8+AM10+AM12+AM14+AM16+AM18</f>
        <v/>
      </c>
      <c r="AN20" s="151">
        <f>AN8+AN10+AN12+AN14+AN16+AN18</f>
        <v/>
      </c>
      <c r="AO20" s="151">
        <f>AO8+AO10+AO12+AO14+AO16+AO18</f>
        <v/>
      </c>
      <c r="AP20" s="151">
        <f>AP8+AP10+AP12+AP14+AP16+AP18</f>
        <v/>
      </c>
      <c r="AQ20" s="151">
        <f>AQ8+AQ10+AQ12+AQ14+AQ16+AQ18</f>
        <v/>
      </c>
      <c r="AR20" s="151">
        <f>AR8+AR10+AR12+AR14+AR16+AR18</f>
        <v/>
      </c>
      <c r="AS20" s="151">
        <f>AS8+AS10+AS12+AS14+AS16+AS18</f>
        <v/>
      </c>
      <c r="AT20" s="151">
        <f>AT8+AT10+AT12+AT14+AT16+AT18</f>
        <v/>
      </c>
      <c r="AU20" s="151">
        <f>AU8+AU10+AU12+AU14+AU16+AU18</f>
        <v/>
      </c>
      <c r="AV20" s="151">
        <f>AV8+AV10+AV12+AV14+AV16+AV18</f>
        <v/>
      </c>
      <c r="AW20" s="151">
        <f>AW8+AW10+AW12+AW14+AW16+AW18</f>
        <v/>
      </c>
      <c r="AX20" s="151">
        <f>AX8+AX10+AX12+AX14+AX16+AX18</f>
        <v/>
      </c>
      <c r="AY20" s="151">
        <f>AY8+AY10+AY12+AY14+AY16+AY18</f>
        <v/>
      </c>
      <c r="AZ20" s="151">
        <f>AZ8+AZ10+AZ12+AZ14+AZ16+AZ18</f>
        <v/>
      </c>
      <c r="BA20" s="151">
        <f>BA8+BA10+BA12+BA14+BA16+BA18</f>
        <v/>
      </c>
      <c r="BB20" s="151">
        <f>BB8+BB10+BB12+BB14+BB16+BB18</f>
        <v/>
      </c>
      <c r="BC20" s="151">
        <f>BC8+BC10+BC12+BC14+BC16+BC18</f>
        <v/>
      </c>
      <c r="BD20" s="151">
        <f>BD8+BD10+BD12+BD14+BD16+BD18</f>
        <v/>
      </c>
      <c r="BE20" s="151">
        <f>BE8+BE10+BE12+BE14+BE16+BE18</f>
        <v/>
      </c>
      <c r="BF20" s="151">
        <f>BF8+BF10+BF12+BF14+BF16+BF18</f>
        <v/>
      </c>
      <c r="BG20" s="151">
        <f>BG8+BG10+BG12+BG14+BG16+BG18</f>
        <v/>
      </c>
      <c r="BH20" s="151">
        <f>BH8+BH10+BH12+BH14+BH16+BH18</f>
        <v/>
      </c>
      <c r="BI20" s="151">
        <f>BI8+BI10+BI12+BI14+BI16+BI18</f>
        <v/>
      </c>
      <c r="BJ20" s="151">
        <f>BJ8+BJ10+BJ12+BJ14+BJ16+BJ18</f>
        <v/>
      </c>
      <c r="BL20" s="152">
        <f>C20+D20+E20+F20+G20+H20+I20+J20+K20+L20+M20+N20</f>
        <v/>
      </c>
      <c r="BM20" s="152">
        <f>O20+P20+Q20+R20+S20+T20+U20+V20+W20+X20+Y20+Z20</f>
        <v/>
      </c>
      <c r="BN20" s="152">
        <f>AA20+AB20+AC20+AD20+AE20+AF20+AG20+AH20+AI20+AJ20+AK20+AL20</f>
        <v/>
      </c>
      <c r="BO20" s="152">
        <f>AM20+AN20+AO20+AP20+AQ20+AR20+AS20+AT20+AU20+AV20+AW20+AX20</f>
        <v/>
      </c>
      <c r="BP20" s="152">
        <f>AY20+AZ20+BA20+BB20+BC20+BD20+BE20+BF20+BG20+BH20+BI20+BJ20</f>
        <v/>
      </c>
    </row>
    <row r="21" ht="15" customHeight="1" s="104">
      <c r="A21" s="106" t="inlineStr">
        <is>
          <t>EBITDA</t>
        </is>
      </c>
    </row>
    <row r="22" ht="15" customHeight="1" s="104">
      <c r="A22" s="116" t="inlineStr">
        <is>
          <t>EBITDA</t>
        </is>
      </c>
      <c r="C22" s="151">
        <f>C6-C20</f>
        <v/>
      </c>
      <c r="D22" s="151">
        <f>D6-D20</f>
        <v/>
      </c>
      <c r="E22" s="151">
        <f>E6-E20</f>
        <v/>
      </c>
      <c r="F22" s="151">
        <f>F6-F20</f>
        <v/>
      </c>
      <c r="G22" s="151">
        <f>G6-G20</f>
        <v/>
      </c>
      <c r="H22" s="151">
        <f>H6-H20</f>
        <v/>
      </c>
      <c r="I22" s="151">
        <f>I6-I20</f>
        <v/>
      </c>
      <c r="J22" s="151">
        <f>J6-J20</f>
        <v/>
      </c>
      <c r="K22" s="151">
        <f>K6-K20</f>
        <v/>
      </c>
      <c r="L22" s="151">
        <f>L6-L20</f>
        <v/>
      </c>
      <c r="M22" s="151">
        <f>M6-M20</f>
        <v/>
      </c>
      <c r="N22" s="151">
        <f>N6-N20</f>
        <v/>
      </c>
      <c r="O22" s="151">
        <f>O6-O20</f>
        <v/>
      </c>
      <c r="P22" s="151">
        <f>P6-P20</f>
        <v/>
      </c>
      <c r="Q22" s="151">
        <f>Q6-Q20</f>
        <v/>
      </c>
      <c r="R22" s="151">
        <f>R6-R20</f>
        <v/>
      </c>
      <c r="S22" s="151">
        <f>S6-S20</f>
        <v/>
      </c>
      <c r="T22" s="151">
        <f>T6-T20</f>
        <v/>
      </c>
      <c r="U22" s="151">
        <f>U6-U20</f>
        <v/>
      </c>
      <c r="V22" s="151">
        <f>V6-V20</f>
        <v/>
      </c>
      <c r="W22" s="151">
        <f>W6-W20</f>
        <v/>
      </c>
      <c r="X22" s="151">
        <f>X6-X20</f>
        <v/>
      </c>
      <c r="Y22" s="151">
        <f>Y6-Y20</f>
        <v/>
      </c>
      <c r="Z22" s="151">
        <f>Z6-Z20</f>
        <v/>
      </c>
      <c r="AA22" s="151">
        <f>AA6-AA20</f>
        <v/>
      </c>
      <c r="AB22" s="151">
        <f>AB6-AB20</f>
        <v/>
      </c>
      <c r="AC22" s="151">
        <f>AC6-AC20</f>
        <v/>
      </c>
      <c r="AD22" s="151">
        <f>AD6-AD20</f>
        <v/>
      </c>
      <c r="AE22" s="151">
        <f>AE6-AE20</f>
        <v/>
      </c>
      <c r="AF22" s="151">
        <f>AF6-AF20</f>
        <v/>
      </c>
      <c r="AG22" s="151">
        <f>AG6-AG20</f>
        <v/>
      </c>
      <c r="AH22" s="151">
        <f>AH6-AH20</f>
        <v/>
      </c>
      <c r="AI22" s="151">
        <f>AI6-AI20</f>
        <v/>
      </c>
      <c r="AJ22" s="151">
        <f>AJ6-AJ20</f>
        <v/>
      </c>
      <c r="AK22" s="151">
        <f>AK6-AK20</f>
        <v/>
      </c>
      <c r="AL22" s="151">
        <f>AL6-AL20</f>
        <v/>
      </c>
      <c r="AM22" s="151">
        <f>AM6-AM20</f>
        <v/>
      </c>
      <c r="AN22" s="151">
        <f>AN6-AN20</f>
        <v/>
      </c>
      <c r="AO22" s="151">
        <f>AO6-AO20</f>
        <v/>
      </c>
      <c r="AP22" s="151">
        <f>AP6-AP20</f>
        <v/>
      </c>
      <c r="AQ22" s="151">
        <f>AQ6-AQ20</f>
        <v/>
      </c>
      <c r="AR22" s="151">
        <f>AR6-AR20</f>
        <v/>
      </c>
      <c r="AS22" s="151">
        <f>AS6-AS20</f>
        <v/>
      </c>
      <c r="AT22" s="151">
        <f>AT6-AT20</f>
        <v/>
      </c>
      <c r="AU22" s="151">
        <f>AU6-AU20</f>
        <v/>
      </c>
      <c r="AV22" s="151">
        <f>AV6-AV20</f>
        <v/>
      </c>
      <c r="AW22" s="151">
        <f>AW6-AW20</f>
        <v/>
      </c>
      <c r="AX22" s="151">
        <f>AX6-AX20</f>
        <v/>
      </c>
      <c r="AY22" s="151">
        <f>AY6-AY20</f>
        <v/>
      </c>
      <c r="AZ22" s="151">
        <f>AZ6-AZ20</f>
        <v/>
      </c>
      <c r="BA22" s="151">
        <f>BA6-BA20</f>
        <v/>
      </c>
      <c r="BB22" s="151">
        <f>BB6-BB20</f>
        <v/>
      </c>
      <c r="BC22" s="151">
        <f>BC6-BC20</f>
        <v/>
      </c>
      <c r="BD22" s="151">
        <f>BD6-BD20</f>
        <v/>
      </c>
      <c r="BE22" s="151">
        <f>BE6-BE20</f>
        <v/>
      </c>
      <c r="BF22" s="151">
        <f>BF6-BF20</f>
        <v/>
      </c>
      <c r="BG22" s="151">
        <f>BG6-BG20</f>
        <v/>
      </c>
      <c r="BH22" s="151">
        <f>BH6-BH20</f>
        <v/>
      </c>
      <c r="BI22" s="151">
        <f>BI6-BI20</f>
        <v/>
      </c>
      <c r="BJ22" s="151">
        <f>BJ6-BJ20</f>
        <v/>
      </c>
      <c r="BL22" s="152">
        <f>C22+D22+E22+F22+G22+H22+I22+J22+K22+L22+M22+N22</f>
        <v/>
      </c>
      <c r="BM22" s="152">
        <f>O22+P22+Q22+R22+S22+T22+U22+V22+W22+X22+Y22+Z22</f>
        <v/>
      </c>
      <c r="BN22" s="152">
        <f>AA22+AB22+AC22+AD22+AE22+AF22+AG22+AH22+AI22+AJ22+AK22+AL22</f>
        <v/>
      </c>
      <c r="BO22" s="152">
        <f>AM22+AN22+AO22+AP22+AQ22+AR22+AS22+AT22+AU22+AV22+AW22+AX22</f>
        <v/>
      </c>
      <c r="BP22" s="152">
        <f>AY22+AZ22+BA22+BB22+BC22+BD22+BE22+BF22+BG22+BH22+BI22+BJ22</f>
        <v/>
      </c>
    </row>
    <row r="23" ht="15" customHeight="1" s="104">
      <c r="A23" s="218" t="inlineStr">
        <is>
          <t xml:space="preserve">    EBITDA Margin %</t>
        </is>
      </c>
      <c r="C23" s="192">
        <f>IF(C6=0,0,C22/C6)</f>
        <v/>
      </c>
      <c r="D23" s="192">
        <f>IF(D6=0,0,D22/D6)</f>
        <v/>
      </c>
      <c r="E23" s="192">
        <f>IF(E6=0,0,E22/E6)</f>
        <v/>
      </c>
      <c r="F23" s="192">
        <f>IF(F6=0,0,F22/F6)</f>
        <v/>
      </c>
      <c r="G23" s="192">
        <f>IF(G6=0,0,G22/G6)</f>
        <v/>
      </c>
      <c r="H23" s="192">
        <f>IF(H6=0,0,H22/H6)</f>
        <v/>
      </c>
      <c r="I23" s="192">
        <f>IF(I6=0,0,I22/I6)</f>
        <v/>
      </c>
      <c r="J23" s="192">
        <f>IF(J6=0,0,J22/J6)</f>
        <v/>
      </c>
      <c r="K23" s="192">
        <f>IF(K6=0,0,K22/K6)</f>
        <v/>
      </c>
      <c r="L23" s="192">
        <f>IF(L6=0,0,L22/L6)</f>
        <v/>
      </c>
      <c r="M23" s="192">
        <f>IF(M6=0,0,M22/M6)</f>
        <v/>
      </c>
      <c r="N23" s="192">
        <f>IF(N6=0,0,N22/N6)</f>
        <v/>
      </c>
      <c r="O23" s="192">
        <f>IF(O6=0,0,O22/O6)</f>
        <v/>
      </c>
      <c r="P23" s="192">
        <f>IF(P6=0,0,P22/P6)</f>
        <v/>
      </c>
      <c r="Q23" s="192">
        <f>IF(Q6=0,0,Q22/Q6)</f>
        <v/>
      </c>
      <c r="R23" s="192">
        <f>IF(R6=0,0,R22/R6)</f>
        <v/>
      </c>
      <c r="S23" s="192">
        <f>IF(S6=0,0,S22/S6)</f>
        <v/>
      </c>
      <c r="T23" s="192">
        <f>IF(T6=0,0,T22/T6)</f>
        <v/>
      </c>
      <c r="U23" s="192">
        <f>IF(U6=0,0,U22/U6)</f>
        <v/>
      </c>
      <c r="V23" s="192">
        <f>IF(V6=0,0,V22/V6)</f>
        <v/>
      </c>
      <c r="W23" s="192">
        <f>IF(W6=0,0,W22/W6)</f>
        <v/>
      </c>
      <c r="X23" s="192">
        <f>IF(X6=0,0,X22/X6)</f>
        <v/>
      </c>
      <c r="Y23" s="192">
        <f>IF(Y6=0,0,Y22/Y6)</f>
        <v/>
      </c>
      <c r="Z23" s="192">
        <f>IF(Z6=0,0,Z22/Z6)</f>
        <v/>
      </c>
      <c r="AA23" s="192">
        <f>IF(AA6=0,0,AA22/AA6)</f>
        <v/>
      </c>
      <c r="AB23" s="192">
        <f>IF(AB6=0,0,AB22/AB6)</f>
        <v/>
      </c>
      <c r="AC23" s="192">
        <f>IF(AC6=0,0,AC22/AC6)</f>
        <v/>
      </c>
      <c r="AD23" s="192">
        <f>IF(AD6=0,0,AD22/AD6)</f>
        <v/>
      </c>
      <c r="AE23" s="192">
        <f>IF(AE6=0,0,AE22/AE6)</f>
        <v/>
      </c>
      <c r="AF23" s="192">
        <f>IF(AF6=0,0,AF22/AF6)</f>
        <v/>
      </c>
      <c r="AG23" s="192">
        <f>IF(AG6=0,0,AG22/AG6)</f>
        <v/>
      </c>
      <c r="AH23" s="192">
        <f>IF(AH6=0,0,AH22/AH6)</f>
        <v/>
      </c>
      <c r="AI23" s="192">
        <f>IF(AI6=0,0,AI22/AI6)</f>
        <v/>
      </c>
      <c r="AJ23" s="192">
        <f>IF(AJ6=0,0,AJ22/AJ6)</f>
        <v/>
      </c>
      <c r="AK23" s="192">
        <f>IF(AK6=0,0,AK22/AK6)</f>
        <v/>
      </c>
      <c r="AL23" s="192">
        <f>IF(AL6=0,0,AL22/AL6)</f>
        <v/>
      </c>
      <c r="AM23" s="192">
        <f>IF(AM6=0,0,AM22/AM6)</f>
        <v/>
      </c>
      <c r="AN23" s="192">
        <f>IF(AN6=0,0,AN22/AN6)</f>
        <v/>
      </c>
      <c r="AO23" s="192">
        <f>IF(AO6=0,0,AO22/AO6)</f>
        <v/>
      </c>
      <c r="AP23" s="192">
        <f>IF(AP6=0,0,AP22/AP6)</f>
        <v/>
      </c>
      <c r="AQ23" s="192">
        <f>IF(AQ6=0,0,AQ22/AQ6)</f>
        <v/>
      </c>
      <c r="AR23" s="192">
        <f>IF(AR6=0,0,AR22/AR6)</f>
        <v/>
      </c>
      <c r="AS23" s="192">
        <f>IF(AS6=0,0,AS22/AS6)</f>
        <v/>
      </c>
      <c r="AT23" s="192">
        <f>IF(AT6=0,0,AT22/AT6)</f>
        <v/>
      </c>
      <c r="AU23" s="192">
        <f>IF(AU6=0,0,AU22/AU6)</f>
        <v/>
      </c>
      <c r="AV23" s="192">
        <f>IF(AV6=0,0,AV22/AV6)</f>
        <v/>
      </c>
      <c r="AW23" s="192">
        <f>IF(AW6=0,0,AW22/AW6)</f>
        <v/>
      </c>
      <c r="AX23" s="192">
        <f>IF(AX6=0,0,AX22/AX6)</f>
        <v/>
      </c>
      <c r="AY23" s="192">
        <f>IF(AY6=0,0,AY22/AY6)</f>
        <v/>
      </c>
      <c r="AZ23" s="192">
        <f>IF(AZ6=0,0,AZ22/AZ6)</f>
        <v/>
      </c>
      <c r="BA23" s="192">
        <f>IF(BA6=0,0,BA22/BA6)</f>
        <v/>
      </c>
      <c r="BB23" s="192">
        <f>IF(BB6=0,0,BB22/BB6)</f>
        <v/>
      </c>
      <c r="BC23" s="192">
        <f>IF(BC6=0,0,BC22/BC6)</f>
        <v/>
      </c>
      <c r="BD23" s="192">
        <f>IF(BD6=0,0,BD22/BD6)</f>
        <v/>
      </c>
      <c r="BE23" s="192">
        <f>IF(BE6=0,0,BE22/BE6)</f>
        <v/>
      </c>
      <c r="BF23" s="192">
        <f>IF(BF6=0,0,BF22/BF6)</f>
        <v/>
      </c>
      <c r="BG23" s="192">
        <f>IF(BG6=0,0,BG22/BG6)</f>
        <v/>
      </c>
      <c r="BH23" s="192">
        <f>IF(BH6=0,0,BH22/BH6)</f>
        <v/>
      </c>
      <c r="BI23" s="192">
        <f>IF(BI6=0,0,BI22/BI6)</f>
        <v/>
      </c>
      <c r="BJ23" s="192">
        <f>IF(BJ6=0,0,BJ22/BJ6)</f>
        <v/>
      </c>
      <c r="BL23" s="219">
        <f>IF((C6+D6+E6+F6+G6+H6+I6+J6+K6+L6+M6+N6)=0,0,(C22+D22+E22+F22+G22+H22+I22+J22+K22+L22+M22+N22)/(C6+D6+E6+F6+G6+H6+I6+J6+K6+L6+M6+N6))</f>
        <v/>
      </c>
      <c r="BM23" s="219">
        <f>IF((O6+P6+Q6+R6+S6+T6+U6+V6+W6+X6+Y6+Z6)=0,0,(O22+P22+Q22+R22+S22+T22+U22+V22+W22+X22+Y22+Z22)/(O6+P6+Q6+R6+S6+T6+U6+V6+W6+X6+Y6+Z6))</f>
        <v/>
      </c>
      <c r="BN23" s="219">
        <f>IF((AA6+AB6+AC6+AD6+AE6+AF6+AG6+AH6+AI6+AJ6+AK6+AL6)=0,0,(AA22+AB22+AC22+AD22+AE22+AF22+AG22+AH22+AI22+AJ22+AK22+AL22)/(AA6+AB6+AC6+AD6+AE6+AF6+AG6+AH6+AI6+AJ6+AK6+AL6))</f>
        <v/>
      </c>
      <c r="BO23" s="219">
        <f>IF((AM6+AN6+AO6+AP6+AQ6+AR6+AS6+AT6+AU6+AV6+AW6+AX6)=0,0,(AM22+AN22+AO22+AP22+AQ22+AR22+AS22+AT22+AU22+AV22+AW22+AX22)/(AM6+AN6+AO6+AP6+AQ6+AR6+AS6+AT6+AU6+AV6+AW6+AX6))</f>
        <v/>
      </c>
      <c r="BP23" s="219">
        <f>IF((AY6+AZ6+BA6+BB6+BC6+BD6+BE6+BF6+BG6+BH6+BI6+BJ6)=0,0,(AY22+AZ22+BA22+BB22+BC22+BD22+BE22+BF22+BG22+BH22+BI22+BJ22)/(AY6+AZ6+BA6+BB6+BC6+BD6+BE6+BF6+BG6+BH6+BI6+BJ6))</f>
        <v/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19.xml><?xml version="1.0" encoding="utf-8"?>
<worksheet xmlns="http://schemas.openxmlformats.org/spreadsheetml/2006/main">
  <sheetPr filterMode="0">
    <tabColor rgb="FF7B3F00"/>
    <outlinePr summaryBelow="1" summaryRight="1"/>
    <pageSetUpPr fitToPage="0"/>
  </sheetPr>
  <dimension ref="A1:BP52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baseColWidth="8" defaultColWidth="8.71484375" defaultRowHeight="15" zeroHeight="0" outlineLevelRow="0"/>
  <cols>
    <col width="38" customWidth="1" style="103" min="1" max="1"/>
    <col width="9" customWidth="1" style="103" min="3" max="62"/>
    <col width="11" customWidth="1" style="103" min="64" max="68"/>
  </cols>
  <sheetData>
    <row r="1" ht="19.5" customHeight="1" s="104">
      <c r="A1" s="105" t="inlineStr">
        <is>
          <t>Amortization Table – Goodwill &amp; PP&amp;E D&amp;A by Acquisition ($mm)</t>
        </is>
      </c>
    </row>
    <row r="3" ht="15" customHeight="1" s="104">
      <c r="A3" s="116" t="inlineStr">
        <is>
          <t>($mm)</t>
        </is>
      </c>
      <c r="C3" s="149" t="inlineStr">
        <is>
          <t>Oct-26</t>
        </is>
      </c>
      <c r="D3" s="149" t="inlineStr">
        <is>
          <t>Nov-26</t>
        </is>
      </c>
      <c r="E3" s="149" t="inlineStr">
        <is>
          <t>Dec-26</t>
        </is>
      </c>
      <c r="F3" s="149" t="inlineStr">
        <is>
          <t>Jan-27</t>
        </is>
      </c>
      <c r="G3" s="149" t="inlineStr">
        <is>
          <t>Feb-27</t>
        </is>
      </c>
      <c r="H3" s="149" t="inlineStr">
        <is>
          <t>Mar-27</t>
        </is>
      </c>
      <c r="I3" s="149" t="inlineStr">
        <is>
          <t>Apr-27</t>
        </is>
      </c>
      <c r="J3" s="149" t="inlineStr">
        <is>
          <t>May-27</t>
        </is>
      </c>
      <c r="K3" s="149" t="inlineStr">
        <is>
          <t>Jun-27</t>
        </is>
      </c>
      <c r="L3" s="149" t="inlineStr">
        <is>
          <t>Jul-27</t>
        </is>
      </c>
      <c r="M3" s="149" t="inlineStr">
        <is>
          <t>Aug-27</t>
        </is>
      </c>
      <c r="N3" s="149" t="inlineStr">
        <is>
          <t>Sep-27</t>
        </is>
      </c>
      <c r="O3" s="149" t="inlineStr">
        <is>
          <t>Oct-27</t>
        </is>
      </c>
      <c r="P3" s="149" t="inlineStr">
        <is>
          <t>Nov-27</t>
        </is>
      </c>
      <c r="Q3" s="149" t="inlineStr">
        <is>
          <t>Dec-27</t>
        </is>
      </c>
      <c r="R3" s="149" t="inlineStr">
        <is>
          <t>Jan-28</t>
        </is>
      </c>
      <c r="S3" s="149" t="inlineStr">
        <is>
          <t>Feb-28</t>
        </is>
      </c>
      <c r="T3" s="149" t="inlineStr">
        <is>
          <t>Mar-28</t>
        </is>
      </c>
      <c r="U3" s="149" t="inlineStr">
        <is>
          <t>Apr-28</t>
        </is>
      </c>
      <c r="V3" s="149" t="inlineStr">
        <is>
          <t>May-28</t>
        </is>
      </c>
      <c r="W3" s="149" t="inlineStr">
        <is>
          <t>Jun-28</t>
        </is>
      </c>
      <c r="X3" s="149" t="inlineStr">
        <is>
          <t>Jul-28</t>
        </is>
      </c>
      <c r="Y3" s="149" t="inlineStr">
        <is>
          <t>Aug-28</t>
        </is>
      </c>
      <c r="Z3" s="149" t="inlineStr">
        <is>
          <t>Sep-28</t>
        </is>
      </c>
      <c r="AA3" s="149" t="inlineStr">
        <is>
          <t>Oct-28</t>
        </is>
      </c>
      <c r="AB3" s="149" t="inlineStr">
        <is>
          <t>Nov-28</t>
        </is>
      </c>
      <c r="AC3" s="149" t="inlineStr">
        <is>
          <t>Dec-28</t>
        </is>
      </c>
      <c r="AD3" s="149" t="inlineStr">
        <is>
          <t>Jan-29</t>
        </is>
      </c>
      <c r="AE3" s="149" t="inlineStr">
        <is>
          <t>Feb-29</t>
        </is>
      </c>
      <c r="AF3" s="149" t="inlineStr">
        <is>
          <t>Mar-29</t>
        </is>
      </c>
      <c r="AG3" s="149" t="inlineStr">
        <is>
          <t>Apr-29</t>
        </is>
      </c>
      <c r="AH3" s="149" t="inlineStr">
        <is>
          <t>May-29</t>
        </is>
      </c>
      <c r="AI3" s="149" t="inlineStr">
        <is>
          <t>Jun-29</t>
        </is>
      </c>
      <c r="AJ3" s="149" t="inlineStr">
        <is>
          <t>Jul-29</t>
        </is>
      </c>
      <c r="AK3" s="149" t="inlineStr">
        <is>
          <t>Aug-29</t>
        </is>
      </c>
      <c r="AL3" s="149" t="inlineStr">
        <is>
          <t>Sep-29</t>
        </is>
      </c>
      <c r="AM3" s="149" t="inlineStr">
        <is>
          <t>Oct-29</t>
        </is>
      </c>
      <c r="AN3" s="149" t="inlineStr">
        <is>
          <t>Nov-29</t>
        </is>
      </c>
      <c r="AO3" s="149" t="inlineStr">
        <is>
          <t>Dec-29</t>
        </is>
      </c>
      <c r="AP3" s="149" t="inlineStr">
        <is>
          <t>Jan-30</t>
        </is>
      </c>
      <c r="AQ3" s="149" t="inlineStr">
        <is>
          <t>Feb-30</t>
        </is>
      </c>
      <c r="AR3" s="149" t="inlineStr">
        <is>
          <t>Mar-30</t>
        </is>
      </c>
      <c r="AS3" s="149" t="inlineStr">
        <is>
          <t>Apr-30</t>
        </is>
      </c>
      <c r="AT3" s="149" t="inlineStr">
        <is>
          <t>May-30</t>
        </is>
      </c>
      <c r="AU3" s="149" t="inlineStr">
        <is>
          <t>Jun-30</t>
        </is>
      </c>
      <c r="AV3" s="149" t="inlineStr">
        <is>
          <t>Jul-30</t>
        </is>
      </c>
      <c r="AW3" s="149" t="inlineStr">
        <is>
          <t>Aug-30</t>
        </is>
      </c>
      <c r="AX3" s="149" t="inlineStr">
        <is>
          <t>Sep-30</t>
        </is>
      </c>
      <c r="AY3" s="149" t="inlineStr">
        <is>
          <t>Oct-30</t>
        </is>
      </c>
      <c r="AZ3" s="149" t="inlineStr">
        <is>
          <t>Nov-30</t>
        </is>
      </c>
      <c r="BA3" s="149" t="inlineStr">
        <is>
          <t>Dec-30</t>
        </is>
      </c>
      <c r="BB3" s="149" t="inlineStr">
        <is>
          <t>Jan-31</t>
        </is>
      </c>
      <c r="BC3" s="149" t="inlineStr">
        <is>
          <t>Feb-31</t>
        </is>
      </c>
      <c r="BD3" s="149" t="inlineStr">
        <is>
          <t>Mar-31</t>
        </is>
      </c>
      <c r="BE3" s="149" t="inlineStr">
        <is>
          <t>Apr-31</t>
        </is>
      </c>
      <c r="BF3" s="149" t="inlineStr">
        <is>
          <t>May-31</t>
        </is>
      </c>
      <c r="BG3" s="149" t="inlineStr">
        <is>
          <t>Jun-31</t>
        </is>
      </c>
      <c r="BH3" s="149" t="inlineStr">
        <is>
          <t>Jul-31</t>
        </is>
      </c>
      <c r="BI3" s="149" t="inlineStr">
        <is>
          <t>Aug-31</t>
        </is>
      </c>
      <c r="BJ3" s="149" t="inlineStr">
        <is>
          <t>Sep-31</t>
        </is>
      </c>
      <c r="BL3" s="150" t="inlineStr">
        <is>
          <t>FY1</t>
        </is>
      </c>
      <c r="BM3" s="150" t="inlineStr">
        <is>
          <t>FY2</t>
        </is>
      </c>
      <c r="BN3" s="150" t="inlineStr">
        <is>
          <t>FY3</t>
        </is>
      </c>
      <c r="BO3" s="150" t="inlineStr">
        <is>
          <t>FY4</t>
        </is>
      </c>
      <c r="BP3" s="150" t="inlineStr">
        <is>
          <t>FY5</t>
        </is>
      </c>
    </row>
    <row r="5" ht="15" customHeight="1" s="104">
      <c r="A5" s="106" t="inlineStr">
        <is>
          <t>PLATFORM</t>
        </is>
      </c>
    </row>
    <row r="6" ht="15" customHeight="1" s="104">
      <c r="A6" s="107" t="inlineStr">
        <is>
          <t xml:space="preserve">    Platform – PP&amp;E D&amp;A</t>
        </is>
      </c>
      <c r="C6" s="156">
        <f>'Platform P&amp;L'!C6*Assumptions!B38</f>
        <v/>
      </c>
      <c r="D6" s="156">
        <f>'Platform P&amp;L'!D6*Assumptions!B38</f>
        <v/>
      </c>
      <c r="E6" s="156">
        <f>'Platform P&amp;L'!E6*Assumptions!B38</f>
        <v/>
      </c>
      <c r="F6" s="156">
        <f>'Platform P&amp;L'!F6*Assumptions!B38</f>
        <v/>
      </c>
      <c r="G6" s="156">
        <f>'Platform P&amp;L'!G6*Assumptions!B38</f>
        <v/>
      </c>
      <c r="H6" s="156">
        <f>'Platform P&amp;L'!H6*Assumptions!B38</f>
        <v/>
      </c>
      <c r="I6" s="156">
        <f>'Platform P&amp;L'!I6*Assumptions!B38</f>
        <v/>
      </c>
      <c r="J6" s="156">
        <f>'Platform P&amp;L'!J6*Assumptions!B38</f>
        <v/>
      </c>
      <c r="K6" s="156">
        <f>'Platform P&amp;L'!K6*Assumptions!B38</f>
        <v/>
      </c>
      <c r="L6" s="156">
        <f>'Platform P&amp;L'!L6*Assumptions!B38</f>
        <v/>
      </c>
      <c r="M6" s="156">
        <f>'Platform P&amp;L'!M6*Assumptions!B38</f>
        <v/>
      </c>
      <c r="N6" s="156">
        <f>'Platform P&amp;L'!N6*Assumptions!B38</f>
        <v/>
      </c>
      <c r="O6" s="156">
        <f>'Platform P&amp;L'!O6*Assumptions!B38</f>
        <v/>
      </c>
      <c r="P6" s="156">
        <f>'Platform P&amp;L'!P6*Assumptions!B38</f>
        <v/>
      </c>
      <c r="Q6" s="156">
        <f>'Platform P&amp;L'!Q6*Assumptions!B38</f>
        <v/>
      </c>
      <c r="R6" s="156">
        <f>'Platform P&amp;L'!R6*Assumptions!B38</f>
        <v/>
      </c>
      <c r="S6" s="156">
        <f>'Platform P&amp;L'!S6*Assumptions!B38</f>
        <v/>
      </c>
      <c r="T6" s="156">
        <f>'Platform P&amp;L'!T6*Assumptions!B38</f>
        <v/>
      </c>
      <c r="U6" s="156">
        <f>'Platform P&amp;L'!U6*Assumptions!B38</f>
        <v/>
      </c>
      <c r="V6" s="156">
        <f>'Platform P&amp;L'!V6*Assumptions!B38</f>
        <v/>
      </c>
      <c r="W6" s="156">
        <f>'Platform P&amp;L'!W6*Assumptions!B38</f>
        <v/>
      </c>
      <c r="X6" s="156">
        <f>'Platform P&amp;L'!X6*Assumptions!B38</f>
        <v/>
      </c>
      <c r="Y6" s="156">
        <f>'Platform P&amp;L'!Y6*Assumptions!B38</f>
        <v/>
      </c>
      <c r="Z6" s="156">
        <f>'Platform P&amp;L'!Z6*Assumptions!B38</f>
        <v/>
      </c>
      <c r="AA6" s="156">
        <f>'Platform P&amp;L'!AA6*Assumptions!B38</f>
        <v/>
      </c>
      <c r="AB6" s="156">
        <f>'Platform P&amp;L'!AB6*Assumptions!B38</f>
        <v/>
      </c>
      <c r="AC6" s="156">
        <f>'Platform P&amp;L'!AC6*Assumptions!B38</f>
        <v/>
      </c>
      <c r="AD6" s="156">
        <f>'Platform P&amp;L'!AD6*Assumptions!B38</f>
        <v/>
      </c>
      <c r="AE6" s="156">
        <f>'Platform P&amp;L'!AE6*Assumptions!B38</f>
        <v/>
      </c>
      <c r="AF6" s="156">
        <f>'Platform P&amp;L'!AF6*Assumptions!B38</f>
        <v/>
      </c>
      <c r="AG6" s="156">
        <f>'Platform P&amp;L'!AG6*Assumptions!B38</f>
        <v/>
      </c>
      <c r="AH6" s="156">
        <f>'Platform P&amp;L'!AH6*Assumptions!B38</f>
        <v/>
      </c>
      <c r="AI6" s="156">
        <f>'Platform P&amp;L'!AI6*Assumptions!B38</f>
        <v/>
      </c>
      <c r="AJ6" s="156">
        <f>'Platform P&amp;L'!AJ6*Assumptions!B38</f>
        <v/>
      </c>
      <c r="AK6" s="156">
        <f>'Platform P&amp;L'!AK6*Assumptions!B38</f>
        <v/>
      </c>
      <c r="AL6" s="156">
        <f>'Platform P&amp;L'!AL6*Assumptions!B38</f>
        <v/>
      </c>
      <c r="AM6" s="156">
        <f>'Platform P&amp;L'!AM6*Assumptions!B38</f>
        <v/>
      </c>
      <c r="AN6" s="156">
        <f>'Platform P&amp;L'!AN6*Assumptions!B38</f>
        <v/>
      </c>
      <c r="AO6" s="156">
        <f>'Platform P&amp;L'!AO6*Assumptions!B38</f>
        <v/>
      </c>
      <c r="AP6" s="156">
        <f>'Platform P&amp;L'!AP6*Assumptions!B38</f>
        <v/>
      </c>
      <c r="AQ6" s="156">
        <f>'Platform P&amp;L'!AQ6*Assumptions!B38</f>
        <v/>
      </c>
      <c r="AR6" s="156">
        <f>'Platform P&amp;L'!AR6*Assumptions!B38</f>
        <v/>
      </c>
      <c r="AS6" s="156">
        <f>'Platform P&amp;L'!AS6*Assumptions!B38</f>
        <v/>
      </c>
      <c r="AT6" s="156">
        <f>'Platform P&amp;L'!AT6*Assumptions!B38</f>
        <v/>
      </c>
      <c r="AU6" s="156">
        <f>'Platform P&amp;L'!AU6*Assumptions!B38</f>
        <v/>
      </c>
      <c r="AV6" s="156">
        <f>'Platform P&amp;L'!AV6*Assumptions!B38</f>
        <v/>
      </c>
      <c r="AW6" s="156">
        <f>'Platform P&amp;L'!AW6*Assumptions!B38</f>
        <v/>
      </c>
      <c r="AX6" s="156">
        <f>'Platform P&amp;L'!AX6*Assumptions!B38</f>
        <v/>
      </c>
      <c r="AY6" s="156">
        <f>'Platform P&amp;L'!AY6*Assumptions!B38</f>
        <v/>
      </c>
      <c r="AZ6" s="156">
        <f>'Platform P&amp;L'!AZ6*Assumptions!B38</f>
        <v/>
      </c>
      <c r="BA6" s="156">
        <f>'Platform P&amp;L'!BA6*Assumptions!B38</f>
        <v/>
      </c>
      <c r="BB6" s="156">
        <f>'Platform P&amp;L'!BB6*Assumptions!B38</f>
        <v/>
      </c>
      <c r="BC6" s="156">
        <f>'Platform P&amp;L'!BC6*Assumptions!B38</f>
        <v/>
      </c>
      <c r="BD6" s="156">
        <f>'Platform P&amp;L'!BD6*Assumptions!B38</f>
        <v/>
      </c>
      <c r="BE6" s="156">
        <f>'Platform P&amp;L'!BE6*Assumptions!B38</f>
        <v/>
      </c>
      <c r="BF6" s="156">
        <f>'Platform P&amp;L'!BF6*Assumptions!B38</f>
        <v/>
      </c>
      <c r="BG6" s="156">
        <f>'Platform P&amp;L'!BG6*Assumptions!B38</f>
        <v/>
      </c>
      <c r="BH6" s="156">
        <f>'Platform P&amp;L'!BH6*Assumptions!B38</f>
        <v/>
      </c>
      <c r="BI6" s="156">
        <f>'Platform P&amp;L'!BI6*Assumptions!B38</f>
        <v/>
      </c>
      <c r="BJ6" s="156">
        <f>'Platform P&amp;L'!BJ6*Assumptions!B38</f>
        <v/>
      </c>
      <c r="BL6" s="157">
        <f>C6+D6+E6+F6+G6+H6+I6+J6+K6+L6+M6+N6</f>
        <v/>
      </c>
      <c r="BM6" s="157">
        <f>O6+P6+Q6+R6+S6+T6+U6+V6+W6+X6+Y6+Z6</f>
        <v/>
      </c>
      <c r="BN6" s="157">
        <f>AA6+AB6+AC6+AD6+AE6+AF6+AG6+AH6+AI6+AJ6+AK6+AL6</f>
        <v/>
      </c>
      <c r="BO6" s="157">
        <f>AM6+AN6+AO6+AP6+AQ6+AR6+AS6+AT6+AU6+AV6+AW6+AX6</f>
        <v/>
      </c>
      <c r="BP6" s="157">
        <f>AY6+AZ6+BA6+BB6+BC6+BD6+BE6+BF6+BG6+BH6+BI6+BJ6</f>
        <v/>
      </c>
    </row>
    <row r="7" ht="15" customHeight="1" s="104">
      <c r="A7" s="107" t="inlineStr">
        <is>
          <t xml:space="preserve">    Platform – Goodwill Amort (§197)</t>
        </is>
      </c>
      <c r="C7" s="156">
        <f>(Assumptions!B5*Assumptions!B6*Assumptions!B7)/(Assumptions!B13*12)</f>
        <v/>
      </c>
      <c r="D7" s="156">
        <f>(Assumptions!B5*Assumptions!B6*Assumptions!B7)/(Assumptions!B13*12)</f>
        <v/>
      </c>
      <c r="E7" s="156">
        <f>(Assumptions!B5*Assumptions!B6*Assumptions!B7)/(Assumptions!B13*12)</f>
        <v/>
      </c>
      <c r="F7" s="156">
        <f>(Assumptions!B5*Assumptions!B6*Assumptions!B7)/(Assumptions!B13*12)</f>
        <v/>
      </c>
      <c r="G7" s="156">
        <f>(Assumptions!B5*Assumptions!B6*Assumptions!B7)/(Assumptions!B13*12)</f>
        <v/>
      </c>
      <c r="H7" s="156">
        <f>(Assumptions!B5*Assumptions!B6*Assumptions!B7)/(Assumptions!B13*12)</f>
        <v/>
      </c>
      <c r="I7" s="156">
        <f>(Assumptions!B5*Assumptions!B6*Assumptions!B7)/(Assumptions!B13*12)</f>
        <v/>
      </c>
      <c r="J7" s="156">
        <f>(Assumptions!B5*Assumptions!B6*Assumptions!B7)/(Assumptions!B13*12)</f>
        <v/>
      </c>
      <c r="K7" s="156">
        <f>(Assumptions!B5*Assumptions!B6*Assumptions!B7)/(Assumptions!B13*12)</f>
        <v/>
      </c>
      <c r="L7" s="156">
        <f>(Assumptions!B5*Assumptions!B6*Assumptions!B7)/(Assumptions!B13*12)</f>
        <v/>
      </c>
      <c r="M7" s="156">
        <f>(Assumptions!B5*Assumptions!B6*Assumptions!B7)/(Assumptions!B13*12)</f>
        <v/>
      </c>
      <c r="N7" s="156">
        <f>(Assumptions!B5*Assumptions!B6*Assumptions!B7)/(Assumptions!B13*12)</f>
        <v/>
      </c>
      <c r="O7" s="156">
        <f>(Assumptions!B5*Assumptions!B6*Assumptions!B7)/(Assumptions!B13*12)</f>
        <v/>
      </c>
      <c r="P7" s="156">
        <f>(Assumptions!B5*Assumptions!B6*Assumptions!B7)/(Assumptions!B13*12)</f>
        <v/>
      </c>
      <c r="Q7" s="156">
        <f>(Assumptions!B5*Assumptions!B6*Assumptions!B7)/(Assumptions!B13*12)</f>
        <v/>
      </c>
      <c r="R7" s="156">
        <f>(Assumptions!B5*Assumptions!B6*Assumptions!B7)/(Assumptions!B13*12)</f>
        <v/>
      </c>
      <c r="S7" s="156">
        <f>(Assumptions!B5*Assumptions!B6*Assumptions!B7)/(Assumptions!B13*12)</f>
        <v/>
      </c>
      <c r="T7" s="156">
        <f>(Assumptions!B5*Assumptions!B6*Assumptions!B7)/(Assumptions!B13*12)</f>
        <v/>
      </c>
      <c r="U7" s="156">
        <f>(Assumptions!B5*Assumptions!B6*Assumptions!B7)/(Assumptions!B13*12)</f>
        <v/>
      </c>
      <c r="V7" s="156">
        <f>(Assumptions!B5*Assumptions!B6*Assumptions!B7)/(Assumptions!B13*12)</f>
        <v/>
      </c>
      <c r="W7" s="156">
        <f>(Assumptions!B5*Assumptions!B6*Assumptions!B7)/(Assumptions!B13*12)</f>
        <v/>
      </c>
      <c r="X7" s="156">
        <f>(Assumptions!B5*Assumptions!B6*Assumptions!B7)/(Assumptions!B13*12)</f>
        <v/>
      </c>
      <c r="Y7" s="156">
        <f>(Assumptions!B5*Assumptions!B6*Assumptions!B7)/(Assumptions!B13*12)</f>
        <v/>
      </c>
      <c r="Z7" s="156">
        <f>(Assumptions!B5*Assumptions!B6*Assumptions!B7)/(Assumptions!B13*12)</f>
        <v/>
      </c>
      <c r="AA7" s="156">
        <f>(Assumptions!B5*Assumptions!B6*Assumptions!B7)/(Assumptions!B13*12)</f>
        <v/>
      </c>
      <c r="AB7" s="156">
        <f>(Assumptions!B5*Assumptions!B6*Assumptions!B7)/(Assumptions!B13*12)</f>
        <v/>
      </c>
      <c r="AC7" s="156">
        <f>(Assumptions!B5*Assumptions!B6*Assumptions!B7)/(Assumptions!B13*12)</f>
        <v/>
      </c>
      <c r="AD7" s="156">
        <f>(Assumptions!B5*Assumptions!B6*Assumptions!B7)/(Assumptions!B13*12)</f>
        <v/>
      </c>
      <c r="AE7" s="156">
        <f>(Assumptions!B5*Assumptions!B6*Assumptions!B7)/(Assumptions!B13*12)</f>
        <v/>
      </c>
      <c r="AF7" s="156">
        <f>(Assumptions!B5*Assumptions!B6*Assumptions!B7)/(Assumptions!B13*12)</f>
        <v/>
      </c>
      <c r="AG7" s="156">
        <f>(Assumptions!B5*Assumptions!B6*Assumptions!B7)/(Assumptions!B13*12)</f>
        <v/>
      </c>
      <c r="AH7" s="156">
        <f>(Assumptions!B5*Assumptions!B6*Assumptions!B7)/(Assumptions!B13*12)</f>
        <v/>
      </c>
      <c r="AI7" s="156">
        <f>(Assumptions!B5*Assumptions!B6*Assumptions!B7)/(Assumptions!B13*12)</f>
        <v/>
      </c>
      <c r="AJ7" s="156">
        <f>(Assumptions!B5*Assumptions!B6*Assumptions!B7)/(Assumptions!B13*12)</f>
        <v/>
      </c>
      <c r="AK7" s="156">
        <f>(Assumptions!B5*Assumptions!B6*Assumptions!B7)/(Assumptions!B13*12)</f>
        <v/>
      </c>
      <c r="AL7" s="156">
        <f>(Assumptions!B5*Assumptions!B6*Assumptions!B7)/(Assumptions!B13*12)</f>
        <v/>
      </c>
      <c r="AM7" s="156">
        <f>(Assumptions!B5*Assumptions!B6*Assumptions!B7)/(Assumptions!B13*12)</f>
        <v/>
      </c>
      <c r="AN7" s="156">
        <f>(Assumptions!B5*Assumptions!B6*Assumptions!B7)/(Assumptions!B13*12)</f>
        <v/>
      </c>
      <c r="AO7" s="156">
        <f>(Assumptions!B5*Assumptions!B6*Assumptions!B7)/(Assumptions!B13*12)</f>
        <v/>
      </c>
      <c r="AP7" s="156">
        <f>(Assumptions!B5*Assumptions!B6*Assumptions!B7)/(Assumptions!B13*12)</f>
        <v/>
      </c>
      <c r="AQ7" s="156">
        <f>(Assumptions!B5*Assumptions!B6*Assumptions!B7)/(Assumptions!B13*12)</f>
        <v/>
      </c>
      <c r="AR7" s="156">
        <f>(Assumptions!B5*Assumptions!B6*Assumptions!B7)/(Assumptions!B13*12)</f>
        <v/>
      </c>
      <c r="AS7" s="156">
        <f>(Assumptions!B5*Assumptions!B6*Assumptions!B7)/(Assumptions!B13*12)</f>
        <v/>
      </c>
      <c r="AT7" s="156">
        <f>(Assumptions!B5*Assumptions!B6*Assumptions!B7)/(Assumptions!B13*12)</f>
        <v/>
      </c>
      <c r="AU7" s="156">
        <f>(Assumptions!B5*Assumptions!B6*Assumptions!B7)/(Assumptions!B13*12)</f>
        <v/>
      </c>
      <c r="AV7" s="156">
        <f>(Assumptions!B5*Assumptions!B6*Assumptions!B7)/(Assumptions!B13*12)</f>
        <v/>
      </c>
      <c r="AW7" s="156">
        <f>(Assumptions!B5*Assumptions!B6*Assumptions!B7)/(Assumptions!B13*12)</f>
        <v/>
      </c>
      <c r="AX7" s="156">
        <f>(Assumptions!B5*Assumptions!B6*Assumptions!B7)/(Assumptions!B13*12)</f>
        <v/>
      </c>
      <c r="AY7" s="156">
        <f>(Assumptions!B5*Assumptions!B6*Assumptions!B7)/(Assumptions!B13*12)</f>
        <v/>
      </c>
      <c r="AZ7" s="156">
        <f>(Assumptions!B5*Assumptions!B6*Assumptions!B7)/(Assumptions!B13*12)</f>
        <v/>
      </c>
      <c r="BA7" s="156">
        <f>(Assumptions!B5*Assumptions!B6*Assumptions!B7)/(Assumptions!B13*12)</f>
        <v/>
      </c>
      <c r="BB7" s="156">
        <f>(Assumptions!B5*Assumptions!B6*Assumptions!B7)/(Assumptions!B13*12)</f>
        <v/>
      </c>
      <c r="BC7" s="156">
        <f>(Assumptions!B5*Assumptions!B6*Assumptions!B7)/(Assumptions!B13*12)</f>
        <v/>
      </c>
      <c r="BD7" s="156">
        <f>(Assumptions!B5*Assumptions!B6*Assumptions!B7)/(Assumptions!B13*12)</f>
        <v/>
      </c>
      <c r="BE7" s="156">
        <f>(Assumptions!B5*Assumptions!B6*Assumptions!B7)/(Assumptions!B13*12)</f>
        <v/>
      </c>
      <c r="BF7" s="156">
        <f>(Assumptions!B5*Assumptions!B6*Assumptions!B7)/(Assumptions!B13*12)</f>
        <v/>
      </c>
      <c r="BG7" s="156">
        <f>(Assumptions!B5*Assumptions!B6*Assumptions!B7)/(Assumptions!B13*12)</f>
        <v/>
      </c>
      <c r="BH7" s="156">
        <f>(Assumptions!B5*Assumptions!B6*Assumptions!B7)/(Assumptions!B13*12)</f>
        <v/>
      </c>
      <c r="BI7" s="156">
        <f>(Assumptions!B5*Assumptions!B6*Assumptions!B7)/(Assumptions!B13*12)</f>
        <v/>
      </c>
      <c r="BJ7" s="156">
        <f>(Assumptions!B5*Assumptions!B6*Assumptions!B7)/(Assumptions!B13*12)</f>
        <v/>
      </c>
      <c r="BL7" s="157">
        <f>C7+D7+E7+F7+G7+H7+I7+J7+K7+L7+M7+N7</f>
        <v/>
      </c>
      <c r="BM7" s="157">
        <f>O7+P7+Q7+R7+S7+T7+U7+V7+W7+X7+Y7+Z7</f>
        <v/>
      </c>
      <c r="BN7" s="157">
        <f>AA7+AB7+AC7+AD7+AE7+AF7+AG7+AH7+AI7+AJ7+AK7+AL7</f>
        <v/>
      </c>
      <c r="BO7" s="157">
        <f>AM7+AN7+AO7+AP7+AQ7+AR7+AS7+AT7+AU7+AV7+AW7+AX7</f>
        <v/>
      </c>
      <c r="BP7" s="157">
        <f>AY7+AZ7+BA7+BB7+BC7+BD7+BE7+BF7+BG7+BH7+BI7+BJ7</f>
        <v/>
      </c>
    </row>
    <row r="8" ht="15" customHeight="1" s="104">
      <c r="A8" s="116" t="inlineStr">
        <is>
          <t xml:space="preserve">    Platform – Total D&amp;A</t>
        </is>
      </c>
      <c r="C8" s="151">
        <f>C6+C7</f>
        <v/>
      </c>
      <c r="D8" s="151">
        <f>D6+D7</f>
        <v/>
      </c>
      <c r="E8" s="151">
        <f>E6+E7</f>
        <v/>
      </c>
      <c r="F8" s="151">
        <f>F6+F7</f>
        <v/>
      </c>
      <c r="G8" s="151">
        <f>G6+G7</f>
        <v/>
      </c>
      <c r="H8" s="151">
        <f>H6+H7</f>
        <v/>
      </c>
      <c r="I8" s="151">
        <f>I6+I7</f>
        <v/>
      </c>
      <c r="J8" s="151">
        <f>J6+J7</f>
        <v/>
      </c>
      <c r="K8" s="151">
        <f>K6+K7</f>
        <v/>
      </c>
      <c r="L8" s="151">
        <f>L6+L7</f>
        <v/>
      </c>
      <c r="M8" s="151">
        <f>M6+M7</f>
        <v/>
      </c>
      <c r="N8" s="151">
        <f>N6+N7</f>
        <v/>
      </c>
      <c r="O8" s="151">
        <f>O6+O7</f>
        <v/>
      </c>
      <c r="P8" s="151">
        <f>P6+P7</f>
        <v/>
      </c>
      <c r="Q8" s="151">
        <f>Q6+Q7</f>
        <v/>
      </c>
      <c r="R8" s="151">
        <f>R6+R7</f>
        <v/>
      </c>
      <c r="S8" s="151">
        <f>S6+S7</f>
        <v/>
      </c>
      <c r="T8" s="151">
        <f>T6+T7</f>
        <v/>
      </c>
      <c r="U8" s="151">
        <f>U6+U7</f>
        <v/>
      </c>
      <c r="V8" s="151">
        <f>V6+V7</f>
        <v/>
      </c>
      <c r="W8" s="151">
        <f>W6+W7</f>
        <v/>
      </c>
      <c r="X8" s="151">
        <f>X6+X7</f>
        <v/>
      </c>
      <c r="Y8" s="151">
        <f>Y6+Y7</f>
        <v/>
      </c>
      <c r="Z8" s="151">
        <f>Z6+Z7</f>
        <v/>
      </c>
      <c r="AA8" s="151">
        <f>AA6+AA7</f>
        <v/>
      </c>
      <c r="AB8" s="151">
        <f>AB6+AB7</f>
        <v/>
      </c>
      <c r="AC8" s="151">
        <f>AC6+AC7</f>
        <v/>
      </c>
      <c r="AD8" s="151">
        <f>AD6+AD7</f>
        <v/>
      </c>
      <c r="AE8" s="151">
        <f>AE6+AE7</f>
        <v/>
      </c>
      <c r="AF8" s="151">
        <f>AF6+AF7</f>
        <v/>
      </c>
      <c r="AG8" s="151">
        <f>AG6+AG7</f>
        <v/>
      </c>
      <c r="AH8" s="151">
        <f>AH6+AH7</f>
        <v/>
      </c>
      <c r="AI8" s="151">
        <f>AI6+AI7</f>
        <v/>
      </c>
      <c r="AJ8" s="151">
        <f>AJ6+AJ7</f>
        <v/>
      </c>
      <c r="AK8" s="151">
        <f>AK6+AK7</f>
        <v/>
      </c>
      <c r="AL8" s="151">
        <f>AL6+AL7</f>
        <v/>
      </c>
      <c r="AM8" s="151">
        <f>AM6+AM7</f>
        <v/>
      </c>
      <c r="AN8" s="151">
        <f>AN6+AN7</f>
        <v/>
      </c>
      <c r="AO8" s="151">
        <f>AO6+AO7</f>
        <v/>
      </c>
      <c r="AP8" s="151">
        <f>AP6+AP7</f>
        <v/>
      </c>
      <c r="AQ8" s="151">
        <f>AQ6+AQ7</f>
        <v/>
      </c>
      <c r="AR8" s="151">
        <f>AR6+AR7</f>
        <v/>
      </c>
      <c r="AS8" s="151">
        <f>AS6+AS7</f>
        <v/>
      </c>
      <c r="AT8" s="151">
        <f>AT6+AT7</f>
        <v/>
      </c>
      <c r="AU8" s="151">
        <f>AU6+AU7</f>
        <v/>
      </c>
      <c r="AV8" s="151">
        <f>AV6+AV7</f>
        <v/>
      </c>
      <c r="AW8" s="151">
        <f>AW6+AW7</f>
        <v/>
      </c>
      <c r="AX8" s="151">
        <f>AX6+AX7</f>
        <v/>
      </c>
      <c r="AY8" s="151">
        <f>AY6+AY7</f>
        <v/>
      </c>
      <c r="AZ8" s="151">
        <f>AZ6+AZ7</f>
        <v/>
      </c>
      <c r="BA8" s="151">
        <f>BA6+BA7</f>
        <v/>
      </c>
      <c r="BB8" s="151">
        <f>BB6+BB7</f>
        <v/>
      </c>
      <c r="BC8" s="151">
        <f>BC6+BC7</f>
        <v/>
      </c>
      <c r="BD8" s="151">
        <f>BD6+BD7</f>
        <v/>
      </c>
      <c r="BE8" s="151">
        <f>BE6+BE7</f>
        <v/>
      </c>
      <c r="BF8" s="151">
        <f>BF6+BF7</f>
        <v/>
      </c>
      <c r="BG8" s="151">
        <f>BG6+BG7</f>
        <v/>
      </c>
      <c r="BH8" s="151">
        <f>BH6+BH7</f>
        <v/>
      </c>
      <c r="BI8" s="151">
        <f>BI6+BI7</f>
        <v/>
      </c>
      <c r="BJ8" s="151">
        <f>BJ6+BJ7</f>
        <v/>
      </c>
      <c r="BL8" s="152">
        <f>C8+D8+E8+F8+G8+H8+I8+J8+K8+L8+M8+N8</f>
        <v/>
      </c>
      <c r="BM8" s="152">
        <f>O8+P8+Q8+R8+S8+T8+U8+V8+W8+X8+Y8+Z8</f>
        <v/>
      </c>
      <c r="BN8" s="152">
        <f>AA8+AB8+AC8+AD8+AE8+AF8+AG8+AH8+AI8+AJ8+AK8+AL8</f>
        <v/>
      </c>
      <c r="BO8" s="152">
        <f>AM8+AN8+AO8+AP8+AQ8+AR8+AS8+AT8+AU8+AV8+AW8+AX8</f>
        <v/>
      </c>
      <c r="BP8" s="152">
        <f>AY8+AZ8+BA8+BB8+BC8+BD8+BE8+BF8+BG8+BH8+BI8+BJ8</f>
        <v/>
      </c>
    </row>
    <row r="9" ht="15" customHeight="1" s="104">
      <c r="A9" s="106" t="inlineStr">
        <is>
          <t>ADD-ON 1</t>
        </is>
      </c>
    </row>
    <row r="10" ht="15" customHeight="1" s="104">
      <c r="A10" s="107" t="inlineStr">
        <is>
          <t xml:space="preserve">    Add-On 1 – PP&amp;E D&amp;A</t>
        </is>
      </c>
      <c r="C10" s="156">
        <f>'Add-On 1'!C6*Assumptions!B38</f>
        <v/>
      </c>
      <c r="D10" s="156">
        <f>'Add-On 1'!D6*Assumptions!B38</f>
        <v/>
      </c>
      <c r="E10" s="156">
        <f>'Add-On 1'!E6*Assumptions!B38</f>
        <v/>
      </c>
      <c r="F10" s="156">
        <f>'Add-On 1'!F6*Assumptions!B38</f>
        <v/>
      </c>
      <c r="G10" s="156">
        <f>'Add-On 1'!G6*Assumptions!B38</f>
        <v/>
      </c>
      <c r="H10" s="156">
        <f>'Add-On 1'!H6*Assumptions!B38</f>
        <v/>
      </c>
      <c r="I10" s="156">
        <f>'Add-On 1'!I6*Assumptions!B38</f>
        <v/>
      </c>
      <c r="J10" s="156">
        <f>'Add-On 1'!J6*Assumptions!B38</f>
        <v/>
      </c>
      <c r="K10" s="156">
        <f>'Add-On 1'!K6*Assumptions!B38</f>
        <v/>
      </c>
      <c r="L10" s="156">
        <f>'Add-On 1'!L6*Assumptions!B38</f>
        <v/>
      </c>
      <c r="M10" s="156">
        <f>'Add-On 1'!M6*Assumptions!B38</f>
        <v/>
      </c>
      <c r="N10" s="156">
        <f>'Add-On 1'!N6*Assumptions!B38</f>
        <v/>
      </c>
      <c r="O10" s="156">
        <f>'Add-On 1'!O6*Assumptions!B38</f>
        <v/>
      </c>
      <c r="P10" s="156">
        <f>'Add-On 1'!P6*Assumptions!B38</f>
        <v/>
      </c>
      <c r="Q10" s="156">
        <f>'Add-On 1'!Q6*Assumptions!B38</f>
        <v/>
      </c>
      <c r="R10" s="156">
        <f>'Add-On 1'!R6*Assumptions!B38</f>
        <v/>
      </c>
      <c r="S10" s="156">
        <f>'Add-On 1'!S6*Assumptions!B38</f>
        <v/>
      </c>
      <c r="T10" s="156">
        <f>'Add-On 1'!T6*Assumptions!B38</f>
        <v/>
      </c>
      <c r="U10" s="156">
        <f>'Add-On 1'!U6*Assumptions!B38</f>
        <v/>
      </c>
      <c r="V10" s="156">
        <f>'Add-On 1'!V6*Assumptions!B38</f>
        <v/>
      </c>
      <c r="W10" s="156">
        <f>'Add-On 1'!W6*Assumptions!B38</f>
        <v/>
      </c>
      <c r="X10" s="156">
        <f>'Add-On 1'!X6*Assumptions!B38</f>
        <v/>
      </c>
      <c r="Y10" s="156">
        <f>'Add-On 1'!Y6*Assumptions!B38</f>
        <v/>
      </c>
      <c r="Z10" s="156">
        <f>'Add-On 1'!Z6*Assumptions!B38</f>
        <v/>
      </c>
      <c r="AA10" s="156">
        <f>'Add-On 1'!AA6*Assumptions!B38</f>
        <v/>
      </c>
      <c r="AB10" s="156">
        <f>'Add-On 1'!AB6*Assumptions!B38</f>
        <v/>
      </c>
      <c r="AC10" s="156">
        <f>'Add-On 1'!AC6*Assumptions!B38</f>
        <v/>
      </c>
      <c r="AD10" s="156">
        <f>'Add-On 1'!AD6*Assumptions!B38</f>
        <v/>
      </c>
      <c r="AE10" s="156">
        <f>'Add-On 1'!AE6*Assumptions!B38</f>
        <v/>
      </c>
      <c r="AF10" s="156">
        <f>'Add-On 1'!AF6*Assumptions!B38</f>
        <v/>
      </c>
      <c r="AG10" s="156">
        <f>'Add-On 1'!AG6*Assumptions!B38</f>
        <v/>
      </c>
      <c r="AH10" s="156">
        <f>'Add-On 1'!AH6*Assumptions!B38</f>
        <v/>
      </c>
      <c r="AI10" s="156">
        <f>'Add-On 1'!AI6*Assumptions!B38</f>
        <v/>
      </c>
      <c r="AJ10" s="156">
        <f>'Add-On 1'!AJ6*Assumptions!B38</f>
        <v/>
      </c>
      <c r="AK10" s="156">
        <f>'Add-On 1'!AK6*Assumptions!B38</f>
        <v/>
      </c>
      <c r="AL10" s="156">
        <f>'Add-On 1'!AL6*Assumptions!B38</f>
        <v/>
      </c>
      <c r="AM10" s="156">
        <f>'Add-On 1'!AM6*Assumptions!B38</f>
        <v/>
      </c>
      <c r="AN10" s="156">
        <f>'Add-On 1'!AN6*Assumptions!B38</f>
        <v/>
      </c>
      <c r="AO10" s="156">
        <f>'Add-On 1'!AO6*Assumptions!B38</f>
        <v/>
      </c>
      <c r="AP10" s="156">
        <f>'Add-On 1'!AP6*Assumptions!B38</f>
        <v/>
      </c>
      <c r="AQ10" s="156">
        <f>'Add-On 1'!AQ6*Assumptions!B38</f>
        <v/>
      </c>
      <c r="AR10" s="156">
        <f>'Add-On 1'!AR6*Assumptions!B38</f>
        <v/>
      </c>
      <c r="AS10" s="156">
        <f>'Add-On 1'!AS6*Assumptions!B38</f>
        <v/>
      </c>
      <c r="AT10" s="156">
        <f>'Add-On 1'!AT6*Assumptions!B38</f>
        <v/>
      </c>
      <c r="AU10" s="156">
        <f>'Add-On 1'!AU6*Assumptions!B38</f>
        <v/>
      </c>
      <c r="AV10" s="156">
        <f>'Add-On 1'!AV6*Assumptions!B38</f>
        <v/>
      </c>
      <c r="AW10" s="156">
        <f>'Add-On 1'!AW6*Assumptions!B38</f>
        <v/>
      </c>
      <c r="AX10" s="156">
        <f>'Add-On 1'!AX6*Assumptions!B38</f>
        <v/>
      </c>
      <c r="AY10" s="156">
        <f>'Add-On 1'!AY6*Assumptions!B38</f>
        <v/>
      </c>
      <c r="AZ10" s="156">
        <f>'Add-On 1'!AZ6*Assumptions!B38</f>
        <v/>
      </c>
      <c r="BA10" s="156">
        <f>'Add-On 1'!BA6*Assumptions!B38</f>
        <v/>
      </c>
      <c r="BB10" s="156">
        <f>'Add-On 1'!BB6*Assumptions!B38</f>
        <v/>
      </c>
      <c r="BC10" s="156">
        <f>'Add-On 1'!BC6*Assumptions!B38</f>
        <v/>
      </c>
      <c r="BD10" s="156">
        <f>'Add-On 1'!BD6*Assumptions!B38</f>
        <v/>
      </c>
      <c r="BE10" s="156">
        <f>'Add-On 1'!BE6*Assumptions!B38</f>
        <v/>
      </c>
      <c r="BF10" s="156">
        <f>'Add-On 1'!BF6*Assumptions!B38</f>
        <v/>
      </c>
      <c r="BG10" s="156">
        <f>'Add-On 1'!BG6*Assumptions!B38</f>
        <v/>
      </c>
      <c r="BH10" s="156">
        <f>'Add-On 1'!BH6*Assumptions!B38</f>
        <v/>
      </c>
      <c r="BI10" s="156">
        <f>'Add-On 1'!BI6*Assumptions!B38</f>
        <v/>
      </c>
      <c r="BJ10" s="156">
        <f>'Add-On 1'!BJ6*Assumptions!B38</f>
        <v/>
      </c>
      <c r="BL10" s="157">
        <f>C10+D10+E10+F10+G10+H10+I10+J10+K10+L10+M10+N10</f>
        <v/>
      </c>
      <c r="BM10" s="157">
        <f>O10+P10+Q10+R10+S10+T10+U10+V10+W10+X10+Y10+Z10</f>
        <v/>
      </c>
      <c r="BN10" s="157">
        <f>AA10+AB10+AC10+AD10+AE10+AF10+AG10+AH10+AI10+AJ10+AK10+AL10</f>
        <v/>
      </c>
      <c r="BO10" s="157">
        <f>AM10+AN10+AO10+AP10+AQ10+AR10+AS10+AT10+AU10+AV10+AW10+AX10</f>
        <v/>
      </c>
      <c r="BP10" s="157">
        <f>AY10+AZ10+BA10+BB10+BC10+BD10+BE10+BF10+BG10+BH10+BI10+BJ10</f>
        <v/>
      </c>
    </row>
    <row r="11" ht="15" customHeight="1" s="104">
      <c r="A11" s="107" t="inlineStr">
        <is>
          <t xml:space="preserve">    Add-On 1 – Goodwill Amort (§197)</t>
        </is>
      </c>
      <c r="C11" s="156">
        <f>IF('Add-On 1'!C4=0,0,Assumptions!C51*Assumptions!D51*Assumptions!E51/(Assumptions!B13*12))</f>
        <v/>
      </c>
      <c r="D11" s="156">
        <f>IF('Add-On 1'!D4=0,0,Assumptions!C51*Assumptions!D51*Assumptions!E51/(Assumptions!B13*12))</f>
        <v/>
      </c>
      <c r="E11" s="156">
        <f>IF('Add-On 1'!E4=0,0,Assumptions!C51*Assumptions!D51*Assumptions!E51/(Assumptions!B13*12))</f>
        <v/>
      </c>
      <c r="F11" s="156">
        <f>IF('Add-On 1'!F4=0,0,Assumptions!C51*Assumptions!D51*Assumptions!E51/(Assumptions!B13*12))</f>
        <v/>
      </c>
      <c r="G11" s="156">
        <f>IF('Add-On 1'!G4=0,0,Assumptions!C51*Assumptions!D51*Assumptions!E51/(Assumptions!B13*12))</f>
        <v/>
      </c>
      <c r="H11" s="156">
        <f>IF('Add-On 1'!H4=0,0,Assumptions!C51*Assumptions!D51*Assumptions!E51/(Assumptions!B13*12))</f>
        <v/>
      </c>
      <c r="I11" s="156">
        <f>IF('Add-On 1'!I4=0,0,Assumptions!C51*Assumptions!D51*Assumptions!E51/(Assumptions!B13*12))</f>
        <v/>
      </c>
      <c r="J11" s="156">
        <f>IF('Add-On 1'!J4=0,0,Assumptions!C51*Assumptions!D51*Assumptions!E51/(Assumptions!B13*12))</f>
        <v/>
      </c>
      <c r="K11" s="156">
        <f>IF('Add-On 1'!K4=0,0,Assumptions!C51*Assumptions!D51*Assumptions!E51/(Assumptions!B13*12))</f>
        <v/>
      </c>
      <c r="L11" s="156">
        <f>IF('Add-On 1'!L4=0,0,Assumptions!C51*Assumptions!D51*Assumptions!E51/(Assumptions!B13*12))</f>
        <v/>
      </c>
      <c r="M11" s="156">
        <f>IF('Add-On 1'!M4=0,0,Assumptions!C51*Assumptions!D51*Assumptions!E51/(Assumptions!B13*12))</f>
        <v/>
      </c>
      <c r="N11" s="156">
        <f>IF('Add-On 1'!N4=0,0,Assumptions!C51*Assumptions!D51*Assumptions!E51/(Assumptions!B13*12))</f>
        <v/>
      </c>
      <c r="O11" s="156">
        <f>IF('Add-On 1'!O4=0,0,Assumptions!C51*Assumptions!D51*Assumptions!E51/(Assumptions!B13*12))</f>
        <v/>
      </c>
      <c r="P11" s="156">
        <f>IF('Add-On 1'!P4=0,0,Assumptions!C51*Assumptions!D51*Assumptions!E51/(Assumptions!B13*12))</f>
        <v/>
      </c>
      <c r="Q11" s="156">
        <f>IF('Add-On 1'!Q4=0,0,Assumptions!C51*Assumptions!D51*Assumptions!E51/(Assumptions!B13*12))</f>
        <v/>
      </c>
      <c r="R11" s="156">
        <f>IF('Add-On 1'!R4=0,0,Assumptions!C51*Assumptions!D51*Assumptions!E51/(Assumptions!B13*12))</f>
        <v/>
      </c>
      <c r="S11" s="156">
        <f>IF('Add-On 1'!S4=0,0,Assumptions!C51*Assumptions!D51*Assumptions!E51/(Assumptions!B13*12))</f>
        <v/>
      </c>
      <c r="T11" s="156">
        <f>IF('Add-On 1'!T4=0,0,Assumptions!C51*Assumptions!D51*Assumptions!E51/(Assumptions!B13*12))</f>
        <v/>
      </c>
      <c r="U11" s="156">
        <f>IF('Add-On 1'!U4=0,0,Assumptions!C51*Assumptions!D51*Assumptions!E51/(Assumptions!B13*12))</f>
        <v/>
      </c>
      <c r="V11" s="156">
        <f>IF('Add-On 1'!V4=0,0,Assumptions!C51*Assumptions!D51*Assumptions!E51/(Assumptions!B13*12))</f>
        <v/>
      </c>
      <c r="W11" s="156">
        <f>IF('Add-On 1'!W4=0,0,Assumptions!C51*Assumptions!D51*Assumptions!E51/(Assumptions!B13*12))</f>
        <v/>
      </c>
      <c r="X11" s="156">
        <f>IF('Add-On 1'!X4=0,0,Assumptions!C51*Assumptions!D51*Assumptions!E51/(Assumptions!B13*12))</f>
        <v/>
      </c>
      <c r="Y11" s="156">
        <f>IF('Add-On 1'!Y4=0,0,Assumptions!C51*Assumptions!D51*Assumptions!E51/(Assumptions!B13*12))</f>
        <v/>
      </c>
      <c r="Z11" s="156">
        <f>IF('Add-On 1'!Z4=0,0,Assumptions!C51*Assumptions!D51*Assumptions!E51/(Assumptions!B13*12))</f>
        <v/>
      </c>
      <c r="AA11" s="156">
        <f>IF('Add-On 1'!AA4=0,0,Assumptions!C51*Assumptions!D51*Assumptions!E51/(Assumptions!B13*12))</f>
        <v/>
      </c>
      <c r="AB11" s="156">
        <f>IF('Add-On 1'!AB4=0,0,Assumptions!C51*Assumptions!D51*Assumptions!E51/(Assumptions!B13*12))</f>
        <v/>
      </c>
      <c r="AC11" s="156">
        <f>IF('Add-On 1'!AC4=0,0,Assumptions!C51*Assumptions!D51*Assumptions!E51/(Assumptions!B13*12))</f>
        <v/>
      </c>
      <c r="AD11" s="156">
        <f>IF('Add-On 1'!AD4=0,0,Assumptions!C51*Assumptions!D51*Assumptions!E51/(Assumptions!B13*12))</f>
        <v/>
      </c>
      <c r="AE11" s="156">
        <f>IF('Add-On 1'!AE4=0,0,Assumptions!C51*Assumptions!D51*Assumptions!E51/(Assumptions!B13*12))</f>
        <v/>
      </c>
      <c r="AF11" s="156">
        <f>IF('Add-On 1'!AF4=0,0,Assumptions!C51*Assumptions!D51*Assumptions!E51/(Assumptions!B13*12))</f>
        <v/>
      </c>
      <c r="AG11" s="156">
        <f>IF('Add-On 1'!AG4=0,0,Assumptions!C51*Assumptions!D51*Assumptions!E51/(Assumptions!B13*12))</f>
        <v/>
      </c>
      <c r="AH11" s="156">
        <f>IF('Add-On 1'!AH4=0,0,Assumptions!C51*Assumptions!D51*Assumptions!E51/(Assumptions!B13*12))</f>
        <v/>
      </c>
      <c r="AI11" s="156">
        <f>IF('Add-On 1'!AI4=0,0,Assumptions!C51*Assumptions!D51*Assumptions!E51/(Assumptions!B13*12))</f>
        <v/>
      </c>
      <c r="AJ11" s="156">
        <f>IF('Add-On 1'!AJ4=0,0,Assumptions!C51*Assumptions!D51*Assumptions!E51/(Assumptions!B13*12))</f>
        <v/>
      </c>
      <c r="AK11" s="156">
        <f>IF('Add-On 1'!AK4=0,0,Assumptions!C51*Assumptions!D51*Assumptions!E51/(Assumptions!B13*12))</f>
        <v/>
      </c>
      <c r="AL11" s="156">
        <f>IF('Add-On 1'!AL4=0,0,Assumptions!C51*Assumptions!D51*Assumptions!E51/(Assumptions!B13*12))</f>
        <v/>
      </c>
      <c r="AM11" s="156">
        <f>IF('Add-On 1'!AM4=0,0,Assumptions!C51*Assumptions!D51*Assumptions!E51/(Assumptions!B13*12))</f>
        <v/>
      </c>
      <c r="AN11" s="156">
        <f>IF('Add-On 1'!AN4=0,0,Assumptions!C51*Assumptions!D51*Assumptions!E51/(Assumptions!B13*12))</f>
        <v/>
      </c>
      <c r="AO11" s="156">
        <f>IF('Add-On 1'!AO4=0,0,Assumptions!C51*Assumptions!D51*Assumptions!E51/(Assumptions!B13*12))</f>
        <v/>
      </c>
      <c r="AP11" s="156">
        <f>IF('Add-On 1'!AP4=0,0,Assumptions!C51*Assumptions!D51*Assumptions!E51/(Assumptions!B13*12))</f>
        <v/>
      </c>
      <c r="AQ11" s="156">
        <f>IF('Add-On 1'!AQ4=0,0,Assumptions!C51*Assumptions!D51*Assumptions!E51/(Assumptions!B13*12))</f>
        <v/>
      </c>
      <c r="AR11" s="156">
        <f>IF('Add-On 1'!AR4=0,0,Assumptions!C51*Assumptions!D51*Assumptions!E51/(Assumptions!B13*12))</f>
        <v/>
      </c>
      <c r="AS11" s="156">
        <f>IF('Add-On 1'!AS4=0,0,Assumptions!C51*Assumptions!D51*Assumptions!E51/(Assumptions!B13*12))</f>
        <v/>
      </c>
      <c r="AT11" s="156">
        <f>IF('Add-On 1'!AT4=0,0,Assumptions!C51*Assumptions!D51*Assumptions!E51/(Assumptions!B13*12))</f>
        <v/>
      </c>
      <c r="AU11" s="156">
        <f>IF('Add-On 1'!AU4=0,0,Assumptions!C51*Assumptions!D51*Assumptions!E51/(Assumptions!B13*12))</f>
        <v/>
      </c>
      <c r="AV11" s="156">
        <f>IF('Add-On 1'!AV4=0,0,Assumptions!C51*Assumptions!D51*Assumptions!E51/(Assumptions!B13*12))</f>
        <v/>
      </c>
      <c r="AW11" s="156">
        <f>IF('Add-On 1'!AW4=0,0,Assumptions!C51*Assumptions!D51*Assumptions!E51/(Assumptions!B13*12))</f>
        <v/>
      </c>
      <c r="AX11" s="156">
        <f>IF('Add-On 1'!AX4=0,0,Assumptions!C51*Assumptions!D51*Assumptions!E51/(Assumptions!B13*12))</f>
        <v/>
      </c>
      <c r="AY11" s="156">
        <f>IF('Add-On 1'!AY4=0,0,Assumptions!C51*Assumptions!D51*Assumptions!E51/(Assumptions!B13*12))</f>
        <v/>
      </c>
      <c r="AZ11" s="156">
        <f>IF('Add-On 1'!AZ4=0,0,Assumptions!C51*Assumptions!D51*Assumptions!E51/(Assumptions!B13*12))</f>
        <v/>
      </c>
      <c r="BA11" s="156">
        <f>IF('Add-On 1'!BA4=0,0,Assumptions!C51*Assumptions!D51*Assumptions!E51/(Assumptions!B13*12))</f>
        <v/>
      </c>
      <c r="BB11" s="156">
        <f>IF('Add-On 1'!BB4=0,0,Assumptions!C51*Assumptions!D51*Assumptions!E51/(Assumptions!B13*12))</f>
        <v/>
      </c>
      <c r="BC11" s="156">
        <f>IF('Add-On 1'!BC4=0,0,Assumptions!C51*Assumptions!D51*Assumptions!E51/(Assumptions!B13*12))</f>
        <v/>
      </c>
      <c r="BD11" s="156">
        <f>IF('Add-On 1'!BD4=0,0,Assumptions!C51*Assumptions!D51*Assumptions!E51/(Assumptions!B13*12))</f>
        <v/>
      </c>
      <c r="BE11" s="156">
        <f>IF('Add-On 1'!BE4=0,0,Assumptions!C51*Assumptions!D51*Assumptions!E51/(Assumptions!B13*12))</f>
        <v/>
      </c>
      <c r="BF11" s="156">
        <f>IF('Add-On 1'!BF4=0,0,Assumptions!C51*Assumptions!D51*Assumptions!E51/(Assumptions!B13*12))</f>
        <v/>
      </c>
      <c r="BG11" s="156">
        <f>IF('Add-On 1'!BG4=0,0,Assumptions!C51*Assumptions!D51*Assumptions!E51/(Assumptions!B13*12))</f>
        <v/>
      </c>
      <c r="BH11" s="156">
        <f>IF('Add-On 1'!BH4=0,0,Assumptions!C51*Assumptions!D51*Assumptions!E51/(Assumptions!B13*12))</f>
        <v/>
      </c>
      <c r="BI11" s="156">
        <f>IF('Add-On 1'!BI4=0,0,Assumptions!C51*Assumptions!D51*Assumptions!E51/(Assumptions!B13*12))</f>
        <v/>
      </c>
      <c r="BJ11" s="156">
        <f>IF('Add-On 1'!BJ4=0,0,Assumptions!C51*Assumptions!D51*Assumptions!E51/(Assumptions!B13*12))</f>
        <v/>
      </c>
      <c r="BL11" s="157">
        <f>C11+D11+E11+F11+G11+H11+I11+J11+K11+L11+M11+N11</f>
        <v/>
      </c>
      <c r="BM11" s="157">
        <f>O11+P11+Q11+R11+S11+T11+U11+V11+W11+X11+Y11+Z11</f>
        <v/>
      </c>
      <c r="BN11" s="157">
        <f>AA11+AB11+AC11+AD11+AE11+AF11+AG11+AH11+AI11+AJ11+AK11+AL11</f>
        <v/>
      </c>
      <c r="BO11" s="157">
        <f>AM11+AN11+AO11+AP11+AQ11+AR11+AS11+AT11+AU11+AV11+AW11+AX11</f>
        <v/>
      </c>
      <c r="BP11" s="157">
        <f>AY11+AZ11+BA11+BB11+BC11+BD11+BE11+BF11+BG11+BH11+BI11+BJ11</f>
        <v/>
      </c>
    </row>
    <row r="12" ht="15" customHeight="1" s="104">
      <c r="A12" s="116" t="inlineStr">
        <is>
          <t xml:space="preserve">    Add-On 1 – Total D&amp;A</t>
        </is>
      </c>
      <c r="C12" s="151">
        <f>C10+C11</f>
        <v/>
      </c>
      <c r="D12" s="151">
        <f>D10+D11</f>
        <v/>
      </c>
      <c r="E12" s="151">
        <f>E10+E11</f>
        <v/>
      </c>
      <c r="F12" s="151">
        <f>F10+F11</f>
        <v/>
      </c>
      <c r="G12" s="151">
        <f>G10+G11</f>
        <v/>
      </c>
      <c r="H12" s="151">
        <f>H10+H11</f>
        <v/>
      </c>
      <c r="I12" s="151">
        <f>I10+I11</f>
        <v/>
      </c>
      <c r="J12" s="151">
        <f>J10+J11</f>
        <v/>
      </c>
      <c r="K12" s="151">
        <f>K10+K11</f>
        <v/>
      </c>
      <c r="L12" s="151">
        <f>L10+L11</f>
        <v/>
      </c>
      <c r="M12" s="151">
        <f>M10+M11</f>
        <v/>
      </c>
      <c r="N12" s="151">
        <f>N10+N11</f>
        <v/>
      </c>
      <c r="O12" s="151">
        <f>O10+O11</f>
        <v/>
      </c>
      <c r="P12" s="151">
        <f>P10+P11</f>
        <v/>
      </c>
      <c r="Q12" s="151">
        <f>Q10+Q11</f>
        <v/>
      </c>
      <c r="R12" s="151">
        <f>R10+R11</f>
        <v/>
      </c>
      <c r="S12" s="151">
        <f>S10+S11</f>
        <v/>
      </c>
      <c r="T12" s="151">
        <f>T10+T11</f>
        <v/>
      </c>
      <c r="U12" s="151">
        <f>U10+U11</f>
        <v/>
      </c>
      <c r="V12" s="151">
        <f>V10+V11</f>
        <v/>
      </c>
      <c r="W12" s="151">
        <f>W10+W11</f>
        <v/>
      </c>
      <c r="X12" s="151">
        <f>X10+X11</f>
        <v/>
      </c>
      <c r="Y12" s="151">
        <f>Y10+Y11</f>
        <v/>
      </c>
      <c r="Z12" s="151">
        <f>Z10+Z11</f>
        <v/>
      </c>
      <c r="AA12" s="151">
        <f>AA10+AA11</f>
        <v/>
      </c>
      <c r="AB12" s="151">
        <f>AB10+AB11</f>
        <v/>
      </c>
      <c r="AC12" s="151">
        <f>AC10+AC11</f>
        <v/>
      </c>
      <c r="AD12" s="151">
        <f>AD10+AD11</f>
        <v/>
      </c>
      <c r="AE12" s="151">
        <f>AE10+AE11</f>
        <v/>
      </c>
      <c r="AF12" s="151">
        <f>AF10+AF11</f>
        <v/>
      </c>
      <c r="AG12" s="151">
        <f>AG10+AG11</f>
        <v/>
      </c>
      <c r="AH12" s="151">
        <f>AH10+AH11</f>
        <v/>
      </c>
      <c r="AI12" s="151">
        <f>AI10+AI11</f>
        <v/>
      </c>
      <c r="AJ12" s="151">
        <f>AJ10+AJ11</f>
        <v/>
      </c>
      <c r="AK12" s="151">
        <f>AK10+AK11</f>
        <v/>
      </c>
      <c r="AL12" s="151">
        <f>AL10+AL11</f>
        <v/>
      </c>
      <c r="AM12" s="151">
        <f>AM10+AM11</f>
        <v/>
      </c>
      <c r="AN12" s="151">
        <f>AN10+AN11</f>
        <v/>
      </c>
      <c r="AO12" s="151">
        <f>AO10+AO11</f>
        <v/>
      </c>
      <c r="AP12" s="151">
        <f>AP10+AP11</f>
        <v/>
      </c>
      <c r="AQ12" s="151">
        <f>AQ10+AQ11</f>
        <v/>
      </c>
      <c r="AR12" s="151">
        <f>AR10+AR11</f>
        <v/>
      </c>
      <c r="AS12" s="151">
        <f>AS10+AS11</f>
        <v/>
      </c>
      <c r="AT12" s="151">
        <f>AT10+AT11</f>
        <v/>
      </c>
      <c r="AU12" s="151">
        <f>AU10+AU11</f>
        <v/>
      </c>
      <c r="AV12" s="151">
        <f>AV10+AV11</f>
        <v/>
      </c>
      <c r="AW12" s="151">
        <f>AW10+AW11</f>
        <v/>
      </c>
      <c r="AX12" s="151">
        <f>AX10+AX11</f>
        <v/>
      </c>
      <c r="AY12" s="151">
        <f>AY10+AY11</f>
        <v/>
      </c>
      <c r="AZ12" s="151">
        <f>AZ10+AZ11</f>
        <v/>
      </c>
      <c r="BA12" s="151">
        <f>BA10+BA11</f>
        <v/>
      </c>
      <c r="BB12" s="151">
        <f>BB10+BB11</f>
        <v/>
      </c>
      <c r="BC12" s="151">
        <f>BC10+BC11</f>
        <v/>
      </c>
      <c r="BD12" s="151">
        <f>BD10+BD11</f>
        <v/>
      </c>
      <c r="BE12" s="151">
        <f>BE10+BE11</f>
        <v/>
      </c>
      <c r="BF12" s="151">
        <f>BF10+BF11</f>
        <v/>
      </c>
      <c r="BG12" s="151">
        <f>BG10+BG11</f>
        <v/>
      </c>
      <c r="BH12" s="151">
        <f>BH10+BH11</f>
        <v/>
      </c>
      <c r="BI12" s="151">
        <f>BI10+BI11</f>
        <v/>
      </c>
      <c r="BJ12" s="151">
        <f>BJ10+BJ11</f>
        <v/>
      </c>
      <c r="BL12" s="152">
        <f>C12+D12+E12+F12+G12+H12+I12+J12+K12+L12+M12+N12</f>
        <v/>
      </c>
      <c r="BM12" s="152">
        <f>O12+P12+Q12+R12+S12+T12+U12+V12+W12+X12+Y12+Z12</f>
        <v/>
      </c>
      <c r="BN12" s="152">
        <f>AA12+AB12+AC12+AD12+AE12+AF12+AG12+AH12+AI12+AJ12+AK12+AL12</f>
        <v/>
      </c>
      <c r="BO12" s="152">
        <f>AM12+AN12+AO12+AP12+AQ12+AR12+AS12+AT12+AU12+AV12+AW12+AX12</f>
        <v/>
      </c>
      <c r="BP12" s="152">
        <f>AY12+AZ12+BA12+BB12+BC12+BD12+BE12+BF12+BG12+BH12+BI12+BJ12</f>
        <v/>
      </c>
    </row>
    <row r="13" ht="15" customHeight="1" s="104">
      <c r="A13" s="106" t="inlineStr">
        <is>
          <t>ADD-ON 2</t>
        </is>
      </c>
    </row>
    <row r="14" ht="15" customHeight="1" s="104">
      <c r="A14" s="107" t="inlineStr">
        <is>
          <t xml:space="preserve">    Add-On 2 – PP&amp;E D&amp;A</t>
        </is>
      </c>
      <c r="C14" s="156">
        <f>'Add-On 2'!C6*Assumptions!B38</f>
        <v/>
      </c>
      <c r="D14" s="156">
        <f>'Add-On 2'!D6*Assumptions!B38</f>
        <v/>
      </c>
      <c r="E14" s="156">
        <f>'Add-On 2'!E6*Assumptions!B38</f>
        <v/>
      </c>
      <c r="F14" s="156">
        <f>'Add-On 2'!F6*Assumptions!B38</f>
        <v/>
      </c>
      <c r="G14" s="156">
        <f>'Add-On 2'!G6*Assumptions!B38</f>
        <v/>
      </c>
      <c r="H14" s="156">
        <f>'Add-On 2'!H6*Assumptions!B38</f>
        <v/>
      </c>
      <c r="I14" s="156">
        <f>'Add-On 2'!I6*Assumptions!B38</f>
        <v/>
      </c>
      <c r="J14" s="156">
        <f>'Add-On 2'!J6*Assumptions!B38</f>
        <v/>
      </c>
      <c r="K14" s="156">
        <f>'Add-On 2'!K6*Assumptions!B38</f>
        <v/>
      </c>
      <c r="L14" s="156">
        <f>'Add-On 2'!L6*Assumptions!B38</f>
        <v/>
      </c>
      <c r="M14" s="156">
        <f>'Add-On 2'!M6*Assumptions!B38</f>
        <v/>
      </c>
      <c r="N14" s="156">
        <f>'Add-On 2'!N6*Assumptions!B38</f>
        <v/>
      </c>
      <c r="O14" s="156">
        <f>'Add-On 2'!O6*Assumptions!B38</f>
        <v/>
      </c>
      <c r="P14" s="156">
        <f>'Add-On 2'!P6*Assumptions!B38</f>
        <v/>
      </c>
      <c r="Q14" s="156">
        <f>'Add-On 2'!Q6*Assumptions!B38</f>
        <v/>
      </c>
      <c r="R14" s="156">
        <f>'Add-On 2'!R6*Assumptions!B38</f>
        <v/>
      </c>
      <c r="S14" s="156">
        <f>'Add-On 2'!S6*Assumptions!B38</f>
        <v/>
      </c>
      <c r="T14" s="156">
        <f>'Add-On 2'!T6*Assumptions!B38</f>
        <v/>
      </c>
      <c r="U14" s="156">
        <f>'Add-On 2'!U6*Assumptions!B38</f>
        <v/>
      </c>
      <c r="V14" s="156">
        <f>'Add-On 2'!V6*Assumptions!B38</f>
        <v/>
      </c>
      <c r="W14" s="156">
        <f>'Add-On 2'!W6*Assumptions!B38</f>
        <v/>
      </c>
      <c r="X14" s="156">
        <f>'Add-On 2'!X6*Assumptions!B38</f>
        <v/>
      </c>
      <c r="Y14" s="156">
        <f>'Add-On 2'!Y6*Assumptions!B38</f>
        <v/>
      </c>
      <c r="Z14" s="156">
        <f>'Add-On 2'!Z6*Assumptions!B38</f>
        <v/>
      </c>
      <c r="AA14" s="156">
        <f>'Add-On 2'!AA6*Assumptions!B38</f>
        <v/>
      </c>
      <c r="AB14" s="156">
        <f>'Add-On 2'!AB6*Assumptions!B38</f>
        <v/>
      </c>
      <c r="AC14" s="156">
        <f>'Add-On 2'!AC6*Assumptions!B38</f>
        <v/>
      </c>
      <c r="AD14" s="156">
        <f>'Add-On 2'!AD6*Assumptions!B38</f>
        <v/>
      </c>
      <c r="AE14" s="156">
        <f>'Add-On 2'!AE6*Assumptions!B38</f>
        <v/>
      </c>
      <c r="AF14" s="156">
        <f>'Add-On 2'!AF6*Assumptions!B38</f>
        <v/>
      </c>
      <c r="AG14" s="156">
        <f>'Add-On 2'!AG6*Assumptions!B38</f>
        <v/>
      </c>
      <c r="AH14" s="156">
        <f>'Add-On 2'!AH6*Assumptions!B38</f>
        <v/>
      </c>
      <c r="AI14" s="156">
        <f>'Add-On 2'!AI6*Assumptions!B38</f>
        <v/>
      </c>
      <c r="AJ14" s="156">
        <f>'Add-On 2'!AJ6*Assumptions!B38</f>
        <v/>
      </c>
      <c r="AK14" s="156">
        <f>'Add-On 2'!AK6*Assumptions!B38</f>
        <v/>
      </c>
      <c r="AL14" s="156">
        <f>'Add-On 2'!AL6*Assumptions!B38</f>
        <v/>
      </c>
      <c r="AM14" s="156">
        <f>'Add-On 2'!AM6*Assumptions!B38</f>
        <v/>
      </c>
      <c r="AN14" s="156">
        <f>'Add-On 2'!AN6*Assumptions!B38</f>
        <v/>
      </c>
      <c r="AO14" s="156">
        <f>'Add-On 2'!AO6*Assumptions!B38</f>
        <v/>
      </c>
      <c r="AP14" s="156">
        <f>'Add-On 2'!AP6*Assumptions!B38</f>
        <v/>
      </c>
      <c r="AQ14" s="156">
        <f>'Add-On 2'!AQ6*Assumptions!B38</f>
        <v/>
      </c>
      <c r="AR14" s="156">
        <f>'Add-On 2'!AR6*Assumptions!B38</f>
        <v/>
      </c>
      <c r="AS14" s="156">
        <f>'Add-On 2'!AS6*Assumptions!B38</f>
        <v/>
      </c>
      <c r="AT14" s="156">
        <f>'Add-On 2'!AT6*Assumptions!B38</f>
        <v/>
      </c>
      <c r="AU14" s="156">
        <f>'Add-On 2'!AU6*Assumptions!B38</f>
        <v/>
      </c>
      <c r="AV14" s="156">
        <f>'Add-On 2'!AV6*Assumptions!B38</f>
        <v/>
      </c>
      <c r="AW14" s="156">
        <f>'Add-On 2'!AW6*Assumptions!B38</f>
        <v/>
      </c>
      <c r="AX14" s="156">
        <f>'Add-On 2'!AX6*Assumptions!B38</f>
        <v/>
      </c>
      <c r="AY14" s="156">
        <f>'Add-On 2'!AY6*Assumptions!B38</f>
        <v/>
      </c>
      <c r="AZ14" s="156">
        <f>'Add-On 2'!AZ6*Assumptions!B38</f>
        <v/>
      </c>
      <c r="BA14" s="156">
        <f>'Add-On 2'!BA6*Assumptions!B38</f>
        <v/>
      </c>
      <c r="BB14" s="156">
        <f>'Add-On 2'!BB6*Assumptions!B38</f>
        <v/>
      </c>
      <c r="BC14" s="156">
        <f>'Add-On 2'!BC6*Assumptions!B38</f>
        <v/>
      </c>
      <c r="BD14" s="156">
        <f>'Add-On 2'!BD6*Assumptions!B38</f>
        <v/>
      </c>
      <c r="BE14" s="156">
        <f>'Add-On 2'!BE6*Assumptions!B38</f>
        <v/>
      </c>
      <c r="BF14" s="156">
        <f>'Add-On 2'!BF6*Assumptions!B38</f>
        <v/>
      </c>
      <c r="BG14" s="156">
        <f>'Add-On 2'!BG6*Assumptions!B38</f>
        <v/>
      </c>
      <c r="BH14" s="156">
        <f>'Add-On 2'!BH6*Assumptions!B38</f>
        <v/>
      </c>
      <c r="BI14" s="156">
        <f>'Add-On 2'!BI6*Assumptions!B38</f>
        <v/>
      </c>
      <c r="BJ14" s="156">
        <f>'Add-On 2'!BJ6*Assumptions!B38</f>
        <v/>
      </c>
      <c r="BL14" s="157">
        <f>C14+D14+E14+F14+G14+H14+I14+J14+K14+L14+M14+N14</f>
        <v/>
      </c>
      <c r="BM14" s="157">
        <f>O14+P14+Q14+R14+S14+T14+U14+V14+W14+X14+Y14+Z14</f>
        <v/>
      </c>
      <c r="BN14" s="157">
        <f>AA14+AB14+AC14+AD14+AE14+AF14+AG14+AH14+AI14+AJ14+AK14+AL14</f>
        <v/>
      </c>
      <c r="BO14" s="157">
        <f>AM14+AN14+AO14+AP14+AQ14+AR14+AS14+AT14+AU14+AV14+AW14+AX14</f>
        <v/>
      </c>
      <c r="BP14" s="157">
        <f>AY14+AZ14+BA14+BB14+BC14+BD14+BE14+BF14+BG14+BH14+BI14+BJ14</f>
        <v/>
      </c>
    </row>
    <row r="15" ht="15" customHeight="1" s="104">
      <c r="A15" s="107" t="inlineStr">
        <is>
          <t xml:space="preserve">    Add-On 2 – Goodwill Amort (§197)</t>
        </is>
      </c>
      <c r="C15" s="156">
        <f>IF('Add-On 2'!C4=0,0,Assumptions!C52*Assumptions!D52*Assumptions!E52/(Assumptions!B13*12))</f>
        <v/>
      </c>
      <c r="D15" s="156">
        <f>IF('Add-On 2'!D4=0,0,Assumptions!C52*Assumptions!D52*Assumptions!E52/(Assumptions!B13*12))</f>
        <v/>
      </c>
      <c r="E15" s="156">
        <f>IF('Add-On 2'!E4=0,0,Assumptions!C52*Assumptions!D52*Assumptions!E52/(Assumptions!B13*12))</f>
        <v/>
      </c>
      <c r="F15" s="156">
        <f>IF('Add-On 2'!F4=0,0,Assumptions!C52*Assumptions!D52*Assumptions!E52/(Assumptions!B13*12))</f>
        <v/>
      </c>
      <c r="G15" s="156">
        <f>IF('Add-On 2'!G4=0,0,Assumptions!C52*Assumptions!D52*Assumptions!E52/(Assumptions!B13*12))</f>
        <v/>
      </c>
      <c r="H15" s="156">
        <f>IF('Add-On 2'!H4=0,0,Assumptions!C52*Assumptions!D52*Assumptions!E52/(Assumptions!B13*12))</f>
        <v/>
      </c>
      <c r="I15" s="156">
        <f>IF('Add-On 2'!I4=0,0,Assumptions!C52*Assumptions!D52*Assumptions!E52/(Assumptions!B13*12))</f>
        <v/>
      </c>
      <c r="J15" s="156">
        <f>IF('Add-On 2'!J4=0,0,Assumptions!C52*Assumptions!D52*Assumptions!E52/(Assumptions!B13*12))</f>
        <v/>
      </c>
      <c r="K15" s="156">
        <f>IF('Add-On 2'!K4=0,0,Assumptions!C52*Assumptions!D52*Assumptions!E52/(Assumptions!B13*12))</f>
        <v/>
      </c>
      <c r="L15" s="156">
        <f>IF('Add-On 2'!L4=0,0,Assumptions!C52*Assumptions!D52*Assumptions!E52/(Assumptions!B13*12))</f>
        <v/>
      </c>
      <c r="M15" s="156">
        <f>IF('Add-On 2'!M4=0,0,Assumptions!C52*Assumptions!D52*Assumptions!E52/(Assumptions!B13*12))</f>
        <v/>
      </c>
      <c r="N15" s="156">
        <f>IF('Add-On 2'!N4=0,0,Assumptions!C52*Assumptions!D52*Assumptions!E52/(Assumptions!B13*12))</f>
        <v/>
      </c>
      <c r="O15" s="156">
        <f>IF('Add-On 2'!O4=0,0,Assumptions!C52*Assumptions!D52*Assumptions!E52/(Assumptions!B13*12))</f>
        <v/>
      </c>
      <c r="P15" s="156">
        <f>IF('Add-On 2'!P4=0,0,Assumptions!C52*Assumptions!D52*Assumptions!E52/(Assumptions!B13*12))</f>
        <v/>
      </c>
      <c r="Q15" s="156">
        <f>IF('Add-On 2'!Q4=0,0,Assumptions!C52*Assumptions!D52*Assumptions!E52/(Assumptions!B13*12))</f>
        <v/>
      </c>
      <c r="R15" s="156">
        <f>IF('Add-On 2'!R4=0,0,Assumptions!C52*Assumptions!D52*Assumptions!E52/(Assumptions!B13*12))</f>
        <v/>
      </c>
      <c r="S15" s="156">
        <f>IF('Add-On 2'!S4=0,0,Assumptions!C52*Assumptions!D52*Assumptions!E52/(Assumptions!B13*12))</f>
        <v/>
      </c>
      <c r="T15" s="156">
        <f>IF('Add-On 2'!T4=0,0,Assumptions!C52*Assumptions!D52*Assumptions!E52/(Assumptions!B13*12))</f>
        <v/>
      </c>
      <c r="U15" s="156">
        <f>IF('Add-On 2'!U4=0,0,Assumptions!C52*Assumptions!D52*Assumptions!E52/(Assumptions!B13*12))</f>
        <v/>
      </c>
      <c r="V15" s="156">
        <f>IF('Add-On 2'!V4=0,0,Assumptions!C52*Assumptions!D52*Assumptions!E52/(Assumptions!B13*12))</f>
        <v/>
      </c>
      <c r="W15" s="156">
        <f>IF('Add-On 2'!W4=0,0,Assumptions!C52*Assumptions!D52*Assumptions!E52/(Assumptions!B13*12))</f>
        <v/>
      </c>
      <c r="X15" s="156">
        <f>IF('Add-On 2'!X4=0,0,Assumptions!C52*Assumptions!D52*Assumptions!E52/(Assumptions!B13*12))</f>
        <v/>
      </c>
      <c r="Y15" s="156">
        <f>IF('Add-On 2'!Y4=0,0,Assumptions!C52*Assumptions!D52*Assumptions!E52/(Assumptions!B13*12))</f>
        <v/>
      </c>
      <c r="Z15" s="156">
        <f>IF('Add-On 2'!Z4=0,0,Assumptions!C52*Assumptions!D52*Assumptions!E52/(Assumptions!B13*12))</f>
        <v/>
      </c>
      <c r="AA15" s="156">
        <f>IF('Add-On 2'!AA4=0,0,Assumptions!C52*Assumptions!D52*Assumptions!E52/(Assumptions!B13*12))</f>
        <v/>
      </c>
      <c r="AB15" s="156">
        <f>IF('Add-On 2'!AB4=0,0,Assumptions!C52*Assumptions!D52*Assumptions!E52/(Assumptions!B13*12))</f>
        <v/>
      </c>
      <c r="AC15" s="156">
        <f>IF('Add-On 2'!AC4=0,0,Assumptions!C52*Assumptions!D52*Assumptions!E52/(Assumptions!B13*12))</f>
        <v/>
      </c>
      <c r="AD15" s="156">
        <f>IF('Add-On 2'!AD4=0,0,Assumptions!C52*Assumptions!D52*Assumptions!E52/(Assumptions!B13*12))</f>
        <v/>
      </c>
      <c r="AE15" s="156">
        <f>IF('Add-On 2'!AE4=0,0,Assumptions!C52*Assumptions!D52*Assumptions!E52/(Assumptions!B13*12))</f>
        <v/>
      </c>
      <c r="AF15" s="156">
        <f>IF('Add-On 2'!AF4=0,0,Assumptions!C52*Assumptions!D52*Assumptions!E52/(Assumptions!B13*12))</f>
        <v/>
      </c>
      <c r="AG15" s="156">
        <f>IF('Add-On 2'!AG4=0,0,Assumptions!C52*Assumptions!D52*Assumptions!E52/(Assumptions!B13*12))</f>
        <v/>
      </c>
      <c r="AH15" s="156">
        <f>IF('Add-On 2'!AH4=0,0,Assumptions!C52*Assumptions!D52*Assumptions!E52/(Assumptions!B13*12))</f>
        <v/>
      </c>
      <c r="AI15" s="156">
        <f>IF('Add-On 2'!AI4=0,0,Assumptions!C52*Assumptions!D52*Assumptions!E52/(Assumptions!B13*12))</f>
        <v/>
      </c>
      <c r="AJ15" s="156">
        <f>IF('Add-On 2'!AJ4=0,0,Assumptions!C52*Assumptions!D52*Assumptions!E52/(Assumptions!B13*12))</f>
        <v/>
      </c>
      <c r="AK15" s="156">
        <f>IF('Add-On 2'!AK4=0,0,Assumptions!C52*Assumptions!D52*Assumptions!E52/(Assumptions!B13*12))</f>
        <v/>
      </c>
      <c r="AL15" s="156">
        <f>IF('Add-On 2'!AL4=0,0,Assumptions!C52*Assumptions!D52*Assumptions!E52/(Assumptions!B13*12))</f>
        <v/>
      </c>
      <c r="AM15" s="156">
        <f>IF('Add-On 2'!AM4=0,0,Assumptions!C52*Assumptions!D52*Assumptions!E52/(Assumptions!B13*12))</f>
        <v/>
      </c>
      <c r="AN15" s="156">
        <f>IF('Add-On 2'!AN4=0,0,Assumptions!C52*Assumptions!D52*Assumptions!E52/(Assumptions!B13*12))</f>
        <v/>
      </c>
      <c r="AO15" s="156">
        <f>IF('Add-On 2'!AO4=0,0,Assumptions!C52*Assumptions!D52*Assumptions!E52/(Assumptions!B13*12))</f>
        <v/>
      </c>
      <c r="AP15" s="156">
        <f>IF('Add-On 2'!AP4=0,0,Assumptions!C52*Assumptions!D52*Assumptions!E52/(Assumptions!B13*12))</f>
        <v/>
      </c>
      <c r="AQ15" s="156">
        <f>IF('Add-On 2'!AQ4=0,0,Assumptions!C52*Assumptions!D52*Assumptions!E52/(Assumptions!B13*12))</f>
        <v/>
      </c>
      <c r="AR15" s="156">
        <f>IF('Add-On 2'!AR4=0,0,Assumptions!C52*Assumptions!D52*Assumptions!E52/(Assumptions!B13*12))</f>
        <v/>
      </c>
      <c r="AS15" s="156">
        <f>IF('Add-On 2'!AS4=0,0,Assumptions!C52*Assumptions!D52*Assumptions!E52/(Assumptions!B13*12))</f>
        <v/>
      </c>
      <c r="AT15" s="156">
        <f>IF('Add-On 2'!AT4=0,0,Assumptions!C52*Assumptions!D52*Assumptions!E52/(Assumptions!B13*12))</f>
        <v/>
      </c>
      <c r="AU15" s="156">
        <f>IF('Add-On 2'!AU4=0,0,Assumptions!C52*Assumptions!D52*Assumptions!E52/(Assumptions!B13*12))</f>
        <v/>
      </c>
      <c r="AV15" s="156">
        <f>IF('Add-On 2'!AV4=0,0,Assumptions!C52*Assumptions!D52*Assumptions!E52/(Assumptions!B13*12))</f>
        <v/>
      </c>
      <c r="AW15" s="156">
        <f>IF('Add-On 2'!AW4=0,0,Assumptions!C52*Assumptions!D52*Assumptions!E52/(Assumptions!B13*12))</f>
        <v/>
      </c>
      <c r="AX15" s="156">
        <f>IF('Add-On 2'!AX4=0,0,Assumptions!C52*Assumptions!D52*Assumptions!E52/(Assumptions!B13*12))</f>
        <v/>
      </c>
      <c r="AY15" s="156">
        <f>IF('Add-On 2'!AY4=0,0,Assumptions!C52*Assumptions!D52*Assumptions!E52/(Assumptions!B13*12))</f>
        <v/>
      </c>
      <c r="AZ15" s="156">
        <f>IF('Add-On 2'!AZ4=0,0,Assumptions!C52*Assumptions!D52*Assumptions!E52/(Assumptions!B13*12))</f>
        <v/>
      </c>
      <c r="BA15" s="156">
        <f>IF('Add-On 2'!BA4=0,0,Assumptions!C52*Assumptions!D52*Assumptions!E52/(Assumptions!B13*12))</f>
        <v/>
      </c>
      <c r="BB15" s="156">
        <f>IF('Add-On 2'!BB4=0,0,Assumptions!C52*Assumptions!D52*Assumptions!E52/(Assumptions!B13*12))</f>
        <v/>
      </c>
      <c r="BC15" s="156">
        <f>IF('Add-On 2'!BC4=0,0,Assumptions!C52*Assumptions!D52*Assumptions!E52/(Assumptions!B13*12))</f>
        <v/>
      </c>
      <c r="BD15" s="156">
        <f>IF('Add-On 2'!BD4=0,0,Assumptions!C52*Assumptions!D52*Assumptions!E52/(Assumptions!B13*12))</f>
        <v/>
      </c>
      <c r="BE15" s="156">
        <f>IF('Add-On 2'!BE4=0,0,Assumptions!C52*Assumptions!D52*Assumptions!E52/(Assumptions!B13*12))</f>
        <v/>
      </c>
      <c r="BF15" s="156">
        <f>IF('Add-On 2'!BF4=0,0,Assumptions!C52*Assumptions!D52*Assumptions!E52/(Assumptions!B13*12))</f>
        <v/>
      </c>
      <c r="BG15" s="156">
        <f>IF('Add-On 2'!BG4=0,0,Assumptions!C52*Assumptions!D52*Assumptions!E52/(Assumptions!B13*12))</f>
        <v/>
      </c>
      <c r="BH15" s="156">
        <f>IF('Add-On 2'!BH4=0,0,Assumptions!C52*Assumptions!D52*Assumptions!E52/(Assumptions!B13*12))</f>
        <v/>
      </c>
      <c r="BI15" s="156">
        <f>IF('Add-On 2'!BI4=0,0,Assumptions!C52*Assumptions!D52*Assumptions!E52/(Assumptions!B13*12))</f>
        <v/>
      </c>
      <c r="BJ15" s="156">
        <f>IF('Add-On 2'!BJ4=0,0,Assumptions!C52*Assumptions!D52*Assumptions!E52/(Assumptions!B13*12))</f>
        <v/>
      </c>
      <c r="BL15" s="157">
        <f>C15+D15+E15+F15+G15+H15+I15+J15+K15+L15+M15+N15</f>
        <v/>
      </c>
      <c r="BM15" s="157">
        <f>O15+P15+Q15+R15+S15+T15+U15+V15+W15+X15+Y15+Z15</f>
        <v/>
      </c>
      <c r="BN15" s="157">
        <f>AA15+AB15+AC15+AD15+AE15+AF15+AG15+AH15+AI15+AJ15+AK15+AL15</f>
        <v/>
      </c>
      <c r="BO15" s="157">
        <f>AM15+AN15+AO15+AP15+AQ15+AR15+AS15+AT15+AU15+AV15+AW15+AX15</f>
        <v/>
      </c>
      <c r="BP15" s="157">
        <f>AY15+AZ15+BA15+BB15+BC15+BD15+BE15+BF15+BG15+BH15+BI15+BJ15</f>
        <v/>
      </c>
    </row>
    <row r="16" ht="15" customHeight="1" s="104">
      <c r="A16" s="116" t="inlineStr">
        <is>
          <t xml:space="preserve">    Add-On 2 – Total D&amp;A</t>
        </is>
      </c>
      <c r="C16" s="151">
        <f>C14+C15</f>
        <v/>
      </c>
      <c r="D16" s="151">
        <f>D14+D15</f>
        <v/>
      </c>
      <c r="E16" s="151">
        <f>E14+E15</f>
        <v/>
      </c>
      <c r="F16" s="151">
        <f>F14+F15</f>
        <v/>
      </c>
      <c r="G16" s="151">
        <f>G14+G15</f>
        <v/>
      </c>
      <c r="H16" s="151">
        <f>H14+H15</f>
        <v/>
      </c>
      <c r="I16" s="151">
        <f>I14+I15</f>
        <v/>
      </c>
      <c r="J16" s="151">
        <f>J14+J15</f>
        <v/>
      </c>
      <c r="K16" s="151">
        <f>K14+K15</f>
        <v/>
      </c>
      <c r="L16" s="151">
        <f>L14+L15</f>
        <v/>
      </c>
      <c r="M16" s="151">
        <f>M14+M15</f>
        <v/>
      </c>
      <c r="N16" s="151">
        <f>N14+N15</f>
        <v/>
      </c>
      <c r="O16" s="151">
        <f>O14+O15</f>
        <v/>
      </c>
      <c r="P16" s="151">
        <f>P14+P15</f>
        <v/>
      </c>
      <c r="Q16" s="151">
        <f>Q14+Q15</f>
        <v/>
      </c>
      <c r="R16" s="151">
        <f>R14+R15</f>
        <v/>
      </c>
      <c r="S16" s="151">
        <f>S14+S15</f>
        <v/>
      </c>
      <c r="T16" s="151">
        <f>T14+T15</f>
        <v/>
      </c>
      <c r="U16" s="151">
        <f>U14+U15</f>
        <v/>
      </c>
      <c r="V16" s="151">
        <f>V14+V15</f>
        <v/>
      </c>
      <c r="W16" s="151">
        <f>W14+W15</f>
        <v/>
      </c>
      <c r="X16" s="151">
        <f>X14+X15</f>
        <v/>
      </c>
      <c r="Y16" s="151">
        <f>Y14+Y15</f>
        <v/>
      </c>
      <c r="Z16" s="151">
        <f>Z14+Z15</f>
        <v/>
      </c>
      <c r="AA16" s="151">
        <f>AA14+AA15</f>
        <v/>
      </c>
      <c r="AB16" s="151">
        <f>AB14+AB15</f>
        <v/>
      </c>
      <c r="AC16" s="151">
        <f>AC14+AC15</f>
        <v/>
      </c>
      <c r="AD16" s="151">
        <f>AD14+AD15</f>
        <v/>
      </c>
      <c r="AE16" s="151">
        <f>AE14+AE15</f>
        <v/>
      </c>
      <c r="AF16" s="151">
        <f>AF14+AF15</f>
        <v/>
      </c>
      <c r="AG16" s="151">
        <f>AG14+AG15</f>
        <v/>
      </c>
      <c r="AH16" s="151">
        <f>AH14+AH15</f>
        <v/>
      </c>
      <c r="AI16" s="151">
        <f>AI14+AI15</f>
        <v/>
      </c>
      <c r="AJ16" s="151">
        <f>AJ14+AJ15</f>
        <v/>
      </c>
      <c r="AK16" s="151">
        <f>AK14+AK15</f>
        <v/>
      </c>
      <c r="AL16" s="151">
        <f>AL14+AL15</f>
        <v/>
      </c>
      <c r="AM16" s="151">
        <f>AM14+AM15</f>
        <v/>
      </c>
      <c r="AN16" s="151">
        <f>AN14+AN15</f>
        <v/>
      </c>
      <c r="AO16" s="151">
        <f>AO14+AO15</f>
        <v/>
      </c>
      <c r="AP16" s="151">
        <f>AP14+AP15</f>
        <v/>
      </c>
      <c r="AQ16" s="151">
        <f>AQ14+AQ15</f>
        <v/>
      </c>
      <c r="AR16" s="151">
        <f>AR14+AR15</f>
        <v/>
      </c>
      <c r="AS16" s="151">
        <f>AS14+AS15</f>
        <v/>
      </c>
      <c r="AT16" s="151">
        <f>AT14+AT15</f>
        <v/>
      </c>
      <c r="AU16" s="151">
        <f>AU14+AU15</f>
        <v/>
      </c>
      <c r="AV16" s="151">
        <f>AV14+AV15</f>
        <v/>
      </c>
      <c r="AW16" s="151">
        <f>AW14+AW15</f>
        <v/>
      </c>
      <c r="AX16" s="151">
        <f>AX14+AX15</f>
        <v/>
      </c>
      <c r="AY16" s="151">
        <f>AY14+AY15</f>
        <v/>
      </c>
      <c r="AZ16" s="151">
        <f>AZ14+AZ15</f>
        <v/>
      </c>
      <c r="BA16" s="151">
        <f>BA14+BA15</f>
        <v/>
      </c>
      <c r="BB16" s="151">
        <f>BB14+BB15</f>
        <v/>
      </c>
      <c r="BC16" s="151">
        <f>BC14+BC15</f>
        <v/>
      </c>
      <c r="BD16" s="151">
        <f>BD14+BD15</f>
        <v/>
      </c>
      <c r="BE16" s="151">
        <f>BE14+BE15</f>
        <v/>
      </c>
      <c r="BF16" s="151">
        <f>BF14+BF15</f>
        <v/>
      </c>
      <c r="BG16" s="151">
        <f>BG14+BG15</f>
        <v/>
      </c>
      <c r="BH16" s="151">
        <f>BH14+BH15</f>
        <v/>
      </c>
      <c r="BI16" s="151">
        <f>BI14+BI15</f>
        <v/>
      </c>
      <c r="BJ16" s="151">
        <f>BJ14+BJ15</f>
        <v/>
      </c>
      <c r="BL16" s="152">
        <f>C16+D16+E16+F16+G16+H16+I16+J16+K16+L16+M16+N16</f>
        <v/>
      </c>
      <c r="BM16" s="152">
        <f>O16+P16+Q16+R16+S16+T16+U16+V16+W16+X16+Y16+Z16</f>
        <v/>
      </c>
      <c r="BN16" s="152">
        <f>AA16+AB16+AC16+AD16+AE16+AF16+AG16+AH16+AI16+AJ16+AK16+AL16</f>
        <v/>
      </c>
      <c r="BO16" s="152">
        <f>AM16+AN16+AO16+AP16+AQ16+AR16+AS16+AT16+AU16+AV16+AW16+AX16</f>
        <v/>
      </c>
      <c r="BP16" s="152">
        <f>AY16+AZ16+BA16+BB16+BC16+BD16+BE16+BF16+BG16+BH16+BI16+BJ16</f>
        <v/>
      </c>
    </row>
    <row r="17" ht="15" customHeight="1" s="104">
      <c r="A17" s="106" t="inlineStr">
        <is>
          <t>ADD-ON 3</t>
        </is>
      </c>
    </row>
    <row r="18" ht="15" customHeight="1" s="104">
      <c r="A18" s="107" t="inlineStr">
        <is>
          <t xml:space="preserve">    Add-On 3 – PP&amp;E D&amp;A</t>
        </is>
      </c>
      <c r="C18" s="156">
        <f>'Add-On 3'!C6*Assumptions!B38</f>
        <v/>
      </c>
      <c r="D18" s="156">
        <f>'Add-On 3'!D6*Assumptions!B38</f>
        <v/>
      </c>
      <c r="E18" s="156">
        <f>'Add-On 3'!E6*Assumptions!B38</f>
        <v/>
      </c>
      <c r="F18" s="156">
        <f>'Add-On 3'!F6*Assumptions!B38</f>
        <v/>
      </c>
      <c r="G18" s="156">
        <f>'Add-On 3'!G6*Assumptions!B38</f>
        <v/>
      </c>
      <c r="H18" s="156">
        <f>'Add-On 3'!H6*Assumptions!B38</f>
        <v/>
      </c>
      <c r="I18" s="156">
        <f>'Add-On 3'!I6*Assumptions!B38</f>
        <v/>
      </c>
      <c r="J18" s="156">
        <f>'Add-On 3'!J6*Assumptions!B38</f>
        <v/>
      </c>
      <c r="K18" s="156">
        <f>'Add-On 3'!K6*Assumptions!B38</f>
        <v/>
      </c>
      <c r="L18" s="156">
        <f>'Add-On 3'!L6*Assumptions!B38</f>
        <v/>
      </c>
      <c r="M18" s="156">
        <f>'Add-On 3'!M6*Assumptions!B38</f>
        <v/>
      </c>
      <c r="N18" s="156">
        <f>'Add-On 3'!N6*Assumptions!B38</f>
        <v/>
      </c>
      <c r="O18" s="156">
        <f>'Add-On 3'!O6*Assumptions!B38</f>
        <v/>
      </c>
      <c r="P18" s="156">
        <f>'Add-On 3'!P6*Assumptions!B38</f>
        <v/>
      </c>
      <c r="Q18" s="156">
        <f>'Add-On 3'!Q6*Assumptions!B38</f>
        <v/>
      </c>
      <c r="R18" s="156">
        <f>'Add-On 3'!R6*Assumptions!B38</f>
        <v/>
      </c>
      <c r="S18" s="156">
        <f>'Add-On 3'!S6*Assumptions!B38</f>
        <v/>
      </c>
      <c r="T18" s="156">
        <f>'Add-On 3'!T6*Assumptions!B38</f>
        <v/>
      </c>
      <c r="U18" s="156">
        <f>'Add-On 3'!U6*Assumptions!B38</f>
        <v/>
      </c>
      <c r="V18" s="156">
        <f>'Add-On 3'!V6*Assumptions!B38</f>
        <v/>
      </c>
      <c r="W18" s="156">
        <f>'Add-On 3'!W6*Assumptions!B38</f>
        <v/>
      </c>
      <c r="X18" s="156">
        <f>'Add-On 3'!X6*Assumptions!B38</f>
        <v/>
      </c>
      <c r="Y18" s="156">
        <f>'Add-On 3'!Y6*Assumptions!B38</f>
        <v/>
      </c>
      <c r="Z18" s="156">
        <f>'Add-On 3'!Z6*Assumptions!B38</f>
        <v/>
      </c>
      <c r="AA18" s="156">
        <f>'Add-On 3'!AA6*Assumptions!B38</f>
        <v/>
      </c>
      <c r="AB18" s="156">
        <f>'Add-On 3'!AB6*Assumptions!B38</f>
        <v/>
      </c>
      <c r="AC18" s="156">
        <f>'Add-On 3'!AC6*Assumptions!B38</f>
        <v/>
      </c>
      <c r="AD18" s="156">
        <f>'Add-On 3'!AD6*Assumptions!B38</f>
        <v/>
      </c>
      <c r="AE18" s="156">
        <f>'Add-On 3'!AE6*Assumptions!B38</f>
        <v/>
      </c>
      <c r="AF18" s="156">
        <f>'Add-On 3'!AF6*Assumptions!B38</f>
        <v/>
      </c>
      <c r="AG18" s="156">
        <f>'Add-On 3'!AG6*Assumptions!B38</f>
        <v/>
      </c>
      <c r="AH18" s="156">
        <f>'Add-On 3'!AH6*Assumptions!B38</f>
        <v/>
      </c>
      <c r="AI18" s="156">
        <f>'Add-On 3'!AI6*Assumptions!B38</f>
        <v/>
      </c>
      <c r="AJ18" s="156">
        <f>'Add-On 3'!AJ6*Assumptions!B38</f>
        <v/>
      </c>
      <c r="AK18" s="156">
        <f>'Add-On 3'!AK6*Assumptions!B38</f>
        <v/>
      </c>
      <c r="AL18" s="156">
        <f>'Add-On 3'!AL6*Assumptions!B38</f>
        <v/>
      </c>
      <c r="AM18" s="156">
        <f>'Add-On 3'!AM6*Assumptions!B38</f>
        <v/>
      </c>
      <c r="AN18" s="156">
        <f>'Add-On 3'!AN6*Assumptions!B38</f>
        <v/>
      </c>
      <c r="AO18" s="156">
        <f>'Add-On 3'!AO6*Assumptions!B38</f>
        <v/>
      </c>
      <c r="AP18" s="156">
        <f>'Add-On 3'!AP6*Assumptions!B38</f>
        <v/>
      </c>
      <c r="AQ18" s="156">
        <f>'Add-On 3'!AQ6*Assumptions!B38</f>
        <v/>
      </c>
      <c r="AR18" s="156">
        <f>'Add-On 3'!AR6*Assumptions!B38</f>
        <v/>
      </c>
      <c r="AS18" s="156">
        <f>'Add-On 3'!AS6*Assumptions!B38</f>
        <v/>
      </c>
      <c r="AT18" s="156">
        <f>'Add-On 3'!AT6*Assumptions!B38</f>
        <v/>
      </c>
      <c r="AU18" s="156">
        <f>'Add-On 3'!AU6*Assumptions!B38</f>
        <v/>
      </c>
      <c r="AV18" s="156">
        <f>'Add-On 3'!AV6*Assumptions!B38</f>
        <v/>
      </c>
      <c r="AW18" s="156">
        <f>'Add-On 3'!AW6*Assumptions!B38</f>
        <v/>
      </c>
      <c r="AX18" s="156">
        <f>'Add-On 3'!AX6*Assumptions!B38</f>
        <v/>
      </c>
      <c r="AY18" s="156">
        <f>'Add-On 3'!AY6*Assumptions!B38</f>
        <v/>
      </c>
      <c r="AZ18" s="156">
        <f>'Add-On 3'!AZ6*Assumptions!B38</f>
        <v/>
      </c>
      <c r="BA18" s="156">
        <f>'Add-On 3'!BA6*Assumptions!B38</f>
        <v/>
      </c>
      <c r="BB18" s="156">
        <f>'Add-On 3'!BB6*Assumptions!B38</f>
        <v/>
      </c>
      <c r="BC18" s="156">
        <f>'Add-On 3'!BC6*Assumptions!B38</f>
        <v/>
      </c>
      <c r="BD18" s="156">
        <f>'Add-On 3'!BD6*Assumptions!B38</f>
        <v/>
      </c>
      <c r="BE18" s="156">
        <f>'Add-On 3'!BE6*Assumptions!B38</f>
        <v/>
      </c>
      <c r="BF18" s="156">
        <f>'Add-On 3'!BF6*Assumptions!B38</f>
        <v/>
      </c>
      <c r="BG18" s="156">
        <f>'Add-On 3'!BG6*Assumptions!B38</f>
        <v/>
      </c>
      <c r="BH18" s="156">
        <f>'Add-On 3'!BH6*Assumptions!B38</f>
        <v/>
      </c>
      <c r="BI18" s="156">
        <f>'Add-On 3'!BI6*Assumptions!B38</f>
        <v/>
      </c>
      <c r="BJ18" s="156">
        <f>'Add-On 3'!BJ6*Assumptions!B38</f>
        <v/>
      </c>
      <c r="BL18" s="157">
        <f>C18+D18+E18+F18+G18+H18+I18+J18+K18+L18+M18+N18</f>
        <v/>
      </c>
      <c r="BM18" s="157">
        <f>O18+P18+Q18+R18+S18+T18+U18+V18+W18+X18+Y18+Z18</f>
        <v/>
      </c>
      <c r="BN18" s="157">
        <f>AA18+AB18+AC18+AD18+AE18+AF18+AG18+AH18+AI18+AJ18+AK18+AL18</f>
        <v/>
      </c>
      <c r="BO18" s="157">
        <f>AM18+AN18+AO18+AP18+AQ18+AR18+AS18+AT18+AU18+AV18+AW18+AX18</f>
        <v/>
      </c>
      <c r="BP18" s="157">
        <f>AY18+AZ18+BA18+BB18+BC18+BD18+BE18+BF18+BG18+BH18+BI18+BJ18</f>
        <v/>
      </c>
    </row>
    <row r="19" ht="15" customHeight="1" s="104">
      <c r="A19" s="107" t="inlineStr">
        <is>
          <t xml:space="preserve">    Add-On 3 – Goodwill Amort (§197)</t>
        </is>
      </c>
      <c r="C19" s="156">
        <f>IF('Add-On 3'!C4=0,0,Assumptions!C53*Assumptions!D53*Assumptions!E53/(Assumptions!B13*12))</f>
        <v/>
      </c>
      <c r="D19" s="156">
        <f>IF('Add-On 3'!D4=0,0,Assumptions!C53*Assumptions!D53*Assumptions!E53/(Assumptions!B13*12))</f>
        <v/>
      </c>
      <c r="E19" s="156">
        <f>IF('Add-On 3'!E4=0,0,Assumptions!C53*Assumptions!D53*Assumptions!E53/(Assumptions!B13*12))</f>
        <v/>
      </c>
      <c r="F19" s="156">
        <f>IF('Add-On 3'!F4=0,0,Assumptions!C53*Assumptions!D53*Assumptions!E53/(Assumptions!B13*12))</f>
        <v/>
      </c>
      <c r="G19" s="156">
        <f>IF('Add-On 3'!G4=0,0,Assumptions!C53*Assumptions!D53*Assumptions!E53/(Assumptions!B13*12))</f>
        <v/>
      </c>
      <c r="H19" s="156">
        <f>IF('Add-On 3'!H4=0,0,Assumptions!C53*Assumptions!D53*Assumptions!E53/(Assumptions!B13*12))</f>
        <v/>
      </c>
      <c r="I19" s="156">
        <f>IF('Add-On 3'!I4=0,0,Assumptions!C53*Assumptions!D53*Assumptions!E53/(Assumptions!B13*12))</f>
        <v/>
      </c>
      <c r="J19" s="156">
        <f>IF('Add-On 3'!J4=0,0,Assumptions!C53*Assumptions!D53*Assumptions!E53/(Assumptions!B13*12))</f>
        <v/>
      </c>
      <c r="K19" s="156">
        <f>IF('Add-On 3'!K4=0,0,Assumptions!C53*Assumptions!D53*Assumptions!E53/(Assumptions!B13*12))</f>
        <v/>
      </c>
      <c r="L19" s="156">
        <f>IF('Add-On 3'!L4=0,0,Assumptions!C53*Assumptions!D53*Assumptions!E53/(Assumptions!B13*12))</f>
        <v/>
      </c>
      <c r="M19" s="156">
        <f>IF('Add-On 3'!M4=0,0,Assumptions!C53*Assumptions!D53*Assumptions!E53/(Assumptions!B13*12))</f>
        <v/>
      </c>
      <c r="N19" s="156">
        <f>IF('Add-On 3'!N4=0,0,Assumptions!C53*Assumptions!D53*Assumptions!E53/(Assumptions!B13*12))</f>
        <v/>
      </c>
      <c r="O19" s="156">
        <f>IF('Add-On 3'!O4=0,0,Assumptions!C53*Assumptions!D53*Assumptions!E53/(Assumptions!B13*12))</f>
        <v/>
      </c>
      <c r="P19" s="156">
        <f>IF('Add-On 3'!P4=0,0,Assumptions!C53*Assumptions!D53*Assumptions!E53/(Assumptions!B13*12))</f>
        <v/>
      </c>
      <c r="Q19" s="156">
        <f>IF('Add-On 3'!Q4=0,0,Assumptions!C53*Assumptions!D53*Assumptions!E53/(Assumptions!B13*12))</f>
        <v/>
      </c>
      <c r="R19" s="156">
        <f>IF('Add-On 3'!R4=0,0,Assumptions!C53*Assumptions!D53*Assumptions!E53/(Assumptions!B13*12))</f>
        <v/>
      </c>
      <c r="S19" s="156">
        <f>IF('Add-On 3'!S4=0,0,Assumptions!C53*Assumptions!D53*Assumptions!E53/(Assumptions!B13*12))</f>
        <v/>
      </c>
      <c r="T19" s="156">
        <f>IF('Add-On 3'!T4=0,0,Assumptions!C53*Assumptions!D53*Assumptions!E53/(Assumptions!B13*12))</f>
        <v/>
      </c>
      <c r="U19" s="156">
        <f>IF('Add-On 3'!U4=0,0,Assumptions!C53*Assumptions!D53*Assumptions!E53/(Assumptions!B13*12))</f>
        <v/>
      </c>
      <c r="V19" s="156">
        <f>IF('Add-On 3'!V4=0,0,Assumptions!C53*Assumptions!D53*Assumptions!E53/(Assumptions!B13*12))</f>
        <v/>
      </c>
      <c r="W19" s="156">
        <f>IF('Add-On 3'!W4=0,0,Assumptions!C53*Assumptions!D53*Assumptions!E53/(Assumptions!B13*12))</f>
        <v/>
      </c>
      <c r="X19" s="156">
        <f>IF('Add-On 3'!X4=0,0,Assumptions!C53*Assumptions!D53*Assumptions!E53/(Assumptions!B13*12))</f>
        <v/>
      </c>
      <c r="Y19" s="156">
        <f>IF('Add-On 3'!Y4=0,0,Assumptions!C53*Assumptions!D53*Assumptions!E53/(Assumptions!B13*12))</f>
        <v/>
      </c>
      <c r="Z19" s="156">
        <f>IF('Add-On 3'!Z4=0,0,Assumptions!C53*Assumptions!D53*Assumptions!E53/(Assumptions!B13*12))</f>
        <v/>
      </c>
      <c r="AA19" s="156">
        <f>IF('Add-On 3'!AA4=0,0,Assumptions!C53*Assumptions!D53*Assumptions!E53/(Assumptions!B13*12))</f>
        <v/>
      </c>
      <c r="AB19" s="156">
        <f>IF('Add-On 3'!AB4=0,0,Assumptions!C53*Assumptions!D53*Assumptions!E53/(Assumptions!B13*12))</f>
        <v/>
      </c>
      <c r="AC19" s="156">
        <f>IF('Add-On 3'!AC4=0,0,Assumptions!C53*Assumptions!D53*Assumptions!E53/(Assumptions!B13*12))</f>
        <v/>
      </c>
      <c r="AD19" s="156">
        <f>IF('Add-On 3'!AD4=0,0,Assumptions!C53*Assumptions!D53*Assumptions!E53/(Assumptions!B13*12))</f>
        <v/>
      </c>
      <c r="AE19" s="156">
        <f>IF('Add-On 3'!AE4=0,0,Assumptions!C53*Assumptions!D53*Assumptions!E53/(Assumptions!B13*12))</f>
        <v/>
      </c>
      <c r="AF19" s="156">
        <f>IF('Add-On 3'!AF4=0,0,Assumptions!C53*Assumptions!D53*Assumptions!E53/(Assumptions!B13*12))</f>
        <v/>
      </c>
      <c r="AG19" s="156">
        <f>IF('Add-On 3'!AG4=0,0,Assumptions!C53*Assumptions!D53*Assumptions!E53/(Assumptions!B13*12))</f>
        <v/>
      </c>
      <c r="AH19" s="156">
        <f>IF('Add-On 3'!AH4=0,0,Assumptions!C53*Assumptions!D53*Assumptions!E53/(Assumptions!B13*12))</f>
        <v/>
      </c>
      <c r="AI19" s="156">
        <f>IF('Add-On 3'!AI4=0,0,Assumptions!C53*Assumptions!D53*Assumptions!E53/(Assumptions!B13*12))</f>
        <v/>
      </c>
      <c r="AJ19" s="156">
        <f>IF('Add-On 3'!AJ4=0,0,Assumptions!C53*Assumptions!D53*Assumptions!E53/(Assumptions!B13*12))</f>
        <v/>
      </c>
      <c r="AK19" s="156">
        <f>IF('Add-On 3'!AK4=0,0,Assumptions!C53*Assumptions!D53*Assumptions!E53/(Assumptions!B13*12))</f>
        <v/>
      </c>
      <c r="AL19" s="156">
        <f>IF('Add-On 3'!AL4=0,0,Assumptions!C53*Assumptions!D53*Assumptions!E53/(Assumptions!B13*12))</f>
        <v/>
      </c>
      <c r="AM19" s="156">
        <f>IF('Add-On 3'!AM4=0,0,Assumptions!C53*Assumptions!D53*Assumptions!E53/(Assumptions!B13*12))</f>
        <v/>
      </c>
      <c r="AN19" s="156">
        <f>IF('Add-On 3'!AN4=0,0,Assumptions!C53*Assumptions!D53*Assumptions!E53/(Assumptions!B13*12))</f>
        <v/>
      </c>
      <c r="AO19" s="156">
        <f>IF('Add-On 3'!AO4=0,0,Assumptions!C53*Assumptions!D53*Assumptions!E53/(Assumptions!B13*12))</f>
        <v/>
      </c>
      <c r="AP19" s="156">
        <f>IF('Add-On 3'!AP4=0,0,Assumptions!C53*Assumptions!D53*Assumptions!E53/(Assumptions!B13*12))</f>
        <v/>
      </c>
      <c r="AQ19" s="156">
        <f>IF('Add-On 3'!AQ4=0,0,Assumptions!C53*Assumptions!D53*Assumptions!E53/(Assumptions!B13*12))</f>
        <v/>
      </c>
      <c r="AR19" s="156">
        <f>IF('Add-On 3'!AR4=0,0,Assumptions!C53*Assumptions!D53*Assumptions!E53/(Assumptions!B13*12))</f>
        <v/>
      </c>
      <c r="AS19" s="156">
        <f>IF('Add-On 3'!AS4=0,0,Assumptions!C53*Assumptions!D53*Assumptions!E53/(Assumptions!B13*12))</f>
        <v/>
      </c>
      <c r="AT19" s="156">
        <f>IF('Add-On 3'!AT4=0,0,Assumptions!C53*Assumptions!D53*Assumptions!E53/(Assumptions!B13*12))</f>
        <v/>
      </c>
      <c r="AU19" s="156">
        <f>IF('Add-On 3'!AU4=0,0,Assumptions!C53*Assumptions!D53*Assumptions!E53/(Assumptions!B13*12))</f>
        <v/>
      </c>
      <c r="AV19" s="156">
        <f>IF('Add-On 3'!AV4=0,0,Assumptions!C53*Assumptions!D53*Assumptions!E53/(Assumptions!B13*12))</f>
        <v/>
      </c>
      <c r="AW19" s="156">
        <f>IF('Add-On 3'!AW4=0,0,Assumptions!C53*Assumptions!D53*Assumptions!E53/(Assumptions!B13*12))</f>
        <v/>
      </c>
      <c r="AX19" s="156">
        <f>IF('Add-On 3'!AX4=0,0,Assumptions!C53*Assumptions!D53*Assumptions!E53/(Assumptions!B13*12))</f>
        <v/>
      </c>
      <c r="AY19" s="156">
        <f>IF('Add-On 3'!AY4=0,0,Assumptions!C53*Assumptions!D53*Assumptions!E53/(Assumptions!B13*12))</f>
        <v/>
      </c>
      <c r="AZ19" s="156">
        <f>IF('Add-On 3'!AZ4=0,0,Assumptions!C53*Assumptions!D53*Assumptions!E53/(Assumptions!B13*12))</f>
        <v/>
      </c>
      <c r="BA19" s="156">
        <f>IF('Add-On 3'!BA4=0,0,Assumptions!C53*Assumptions!D53*Assumptions!E53/(Assumptions!B13*12))</f>
        <v/>
      </c>
      <c r="BB19" s="156">
        <f>IF('Add-On 3'!BB4=0,0,Assumptions!C53*Assumptions!D53*Assumptions!E53/(Assumptions!B13*12))</f>
        <v/>
      </c>
      <c r="BC19" s="156">
        <f>IF('Add-On 3'!BC4=0,0,Assumptions!C53*Assumptions!D53*Assumptions!E53/(Assumptions!B13*12))</f>
        <v/>
      </c>
      <c r="BD19" s="156">
        <f>IF('Add-On 3'!BD4=0,0,Assumptions!C53*Assumptions!D53*Assumptions!E53/(Assumptions!B13*12))</f>
        <v/>
      </c>
      <c r="BE19" s="156">
        <f>IF('Add-On 3'!BE4=0,0,Assumptions!C53*Assumptions!D53*Assumptions!E53/(Assumptions!B13*12))</f>
        <v/>
      </c>
      <c r="BF19" s="156">
        <f>IF('Add-On 3'!BF4=0,0,Assumptions!C53*Assumptions!D53*Assumptions!E53/(Assumptions!B13*12))</f>
        <v/>
      </c>
      <c r="BG19" s="156">
        <f>IF('Add-On 3'!BG4=0,0,Assumptions!C53*Assumptions!D53*Assumptions!E53/(Assumptions!B13*12))</f>
        <v/>
      </c>
      <c r="BH19" s="156">
        <f>IF('Add-On 3'!BH4=0,0,Assumptions!C53*Assumptions!D53*Assumptions!E53/(Assumptions!B13*12))</f>
        <v/>
      </c>
      <c r="BI19" s="156">
        <f>IF('Add-On 3'!BI4=0,0,Assumptions!C53*Assumptions!D53*Assumptions!E53/(Assumptions!B13*12))</f>
        <v/>
      </c>
      <c r="BJ19" s="156">
        <f>IF('Add-On 3'!BJ4=0,0,Assumptions!C53*Assumptions!D53*Assumptions!E53/(Assumptions!B13*12))</f>
        <v/>
      </c>
      <c r="BL19" s="157">
        <f>C19+D19+E19+F19+G19+H19+I19+J19+K19+L19+M19+N19</f>
        <v/>
      </c>
      <c r="BM19" s="157">
        <f>O19+P19+Q19+R19+S19+T19+U19+V19+W19+X19+Y19+Z19</f>
        <v/>
      </c>
      <c r="BN19" s="157">
        <f>AA19+AB19+AC19+AD19+AE19+AF19+AG19+AH19+AI19+AJ19+AK19+AL19</f>
        <v/>
      </c>
      <c r="BO19" s="157">
        <f>AM19+AN19+AO19+AP19+AQ19+AR19+AS19+AT19+AU19+AV19+AW19+AX19</f>
        <v/>
      </c>
      <c r="BP19" s="157">
        <f>AY19+AZ19+BA19+BB19+BC19+BD19+BE19+BF19+BG19+BH19+BI19+BJ19</f>
        <v/>
      </c>
    </row>
    <row r="20" ht="15" customHeight="1" s="104">
      <c r="A20" s="116" t="inlineStr">
        <is>
          <t xml:space="preserve">    Add-On 3 – Total D&amp;A</t>
        </is>
      </c>
      <c r="C20" s="151">
        <f>C18+C19</f>
        <v/>
      </c>
      <c r="D20" s="151">
        <f>D18+D19</f>
        <v/>
      </c>
      <c r="E20" s="151">
        <f>E18+E19</f>
        <v/>
      </c>
      <c r="F20" s="151">
        <f>F18+F19</f>
        <v/>
      </c>
      <c r="G20" s="151">
        <f>G18+G19</f>
        <v/>
      </c>
      <c r="H20" s="151">
        <f>H18+H19</f>
        <v/>
      </c>
      <c r="I20" s="151">
        <f>I18+I19</f>
        <v/>
      </c>
      <c r="J20" s="151">
        <f>J18+J19</f>
        <v/>
      </c>
      <c r="K20" s="151">
        <f>K18+K19</f>
        <v/>
      </c>
      <c r="L20" s="151">
        <f>L18+L19</f>
        <v/>
      </c>
      <c r="M20" s="151">
        <f>M18+M19</f>
        <v/>
      </c>
      <c r="N20" s="151">
        <f>N18+N19</f>
        <v/>
      </c>
      <c r="O20" s="151">
        <f>O18+O19</f>
        <v/>
      </c>
      <c r="P20" s="151">
        <f>P18+P19</f>
        <v/>
      </c>
      <c r="Q20" s="151">
        <f>Q18+Q19</f>
        <v/>
      </c>
      <c r="R20" s="151">
        <f>R18+R19</f>
        <v/>
      </c>
      <c r="S20" s="151">
        <f>S18+S19</f>
        <v/>
      </c>
      <c r="T20" s="151">
        <f>T18+T19</f>
        <v/>
      </c>
      <c r="U20" s="151">
        <f>U18+U19</f>
        <v/>
      </c>
      <c r="V20" s="151">
        <f>V18+V19</f>
        <v/>
      </c>
      <c r="W20" s="151">
        <f>W18+W19</f>
        <v/>
      </c>
      <c r="X20" s="151">
        <f>X18+X19</f>
        <v/>
      </c>
      <c r="Y20" s="151">
        <f>Y18+Y19</f>
        <v/>
      </c>
      <c r="Z20" s="151">
        <f>Z18+Z19</f>
        <v/>
      </c>
      <c r="AA20" s="151">
        <f>AA18+AA19</f>
        <v/>
      </c>
      <c r="AB20" s="151">
        <f>AB18+AB19</f>
        <v/>
      </c>
      <c r="AC20" s="151">
        <f>AC18+AC19</f>
        <v/>
      </c>
      <c r="AD20" s="151">
        <f>AD18+AD19</f>
        <v/>
      </c>
      <c r="AE20" s="151">
        <f>AE18+AE19</f>
        <v/>
      </c>
      <c r="AF20" s="151">
        <f>AF18+AF19</f>
        <v/>
      </c>
      <c r="AG20" s="151">
        <f>AG18+AG19</f>
        <v/>
      </c>
      <c r="AH20" s="151">
        <f>AH18+AH19</f>
        <v/>
      </c>
      <c r="AI20" s="151">
        <f>AI18+AI19</f>
        <v/>
      </c>
      <c r="AJ20" s="151">
        <f>AJ18+AJ19</f>
        <v/>
      </c>
      <c r="AK20" s="151">
        <f>AK18+AK19</f>
        <v/>
      </c>
      <c r="AL20" s="151">
        <f>AL18+AL19</f>
        <v/>
      </c>
      <c r="AM20" s="151">
        <f>AM18+AM19</f>
        <v/>
      </c>
      <c r="AN20" s="151">
        <f>AN18+AN19</f>
        <v/>
      </c>
      <c r="AO20" s="151">
        <f>AO18+AO19</f>
        <v/>
      </c>
      <c r="AP20" s="151">
        <f>AP18+AP19</f>
        <v/>
      </c>
      <c r="AQ20" s="151">
        <f>AQ18+AQ19</f>
        <v/>
      </c>
      <c r="AR20" s="151">
        <f>AR18+AR19</f>
        <v/>
      </c>
      <c r="AS20" s="151">
        <f>AS18+AS19</f>
        <v/>
      </c>
      <c r="AT20" s="151">
        <f>AT18+AT19</f>
        <v/>
      </c>
      <c r="AU20" s="151">
        <f>AU18+AU19</f>
        <v/>
      </c>
      <c r="AV20" s="151">
        <f>AV18+AV19</f>
        <v/>
      </c>
      <c r="AW20" s="151">
        <f>AW18+AW19</f>
        <v/>
      </c>
      <c r="AX20" s="151">
        <f>AX18+AX19</f>
        <v/>
      </c>
      <c r="AY20" s="151">
        <f>AY18+AY19</f>
        <v/>
      </c>
      <c r="AZ20" s="151">
        <f>AZ18+AZ19</f>
        <v/>
      </c>
      <c r="BA20" s="151">
        <f>BA18+BA19</f>
        <v/>
      </c>
      <c r="BB20" s="151">
        <f>BB18+BB19</f>
        <v/>
      </c>
      <c r="BC20" s="151">
        <f>BC18+BC19</f>
        <v/>
      </c>
      <c r="BD20" s="151">
        <f>BD18+BD19</f>
        <v/>
      </c>
      <c r="BE20" s="151">
        <f>BE18+BE19</f>
        <v/>
      </c>
      <c r="BF20" s="151">
        <f>BF18+BF19</f>
        <v/>
      </c>
      <c r="BG20" s="151">
        <f>BG18+BG19</f>
        <v/>
      </c>
      <c r="BH20" s="151">
        <f>BH18+BH19</f>
        <v/>
      </c>
      <c r="BI20" s="151">
        <f>BI18+BI19</f>
        <v/>
      </c>
      <c r="BJ20" s="151">
        <f>BJ18+BJ19</f>
        <v/>
      </c>
      <c r="BL20" s="152">
        <f>C20+D20+E20+F20+G20+H20+I20+J20+K20+L20+M20+N20</f>
        <v/>
      </c>
      <c r="BM20" s="152">
        <f>O20+P20+Q20+R20+S20+T20+U20+V20+W20+X20+Y20+Z20</f>
        <v/>
      </c>
      <c r="BN20" s="152">
        <f>AA20+AB20+AC20+AD20+AE20+AF20+AG20+AH20+AI20+AJ20+AK20+AL20</f>
        <v/>
      </c>
      <c r="BO20" s="152">
        <f>AM20+AN20+AO20+AP20+AQ20+AR20+AS20+AT20+AU20+AV20+AW20+AX20</f>
        <v/>
      </c>
      <c r="BP20" s="152">
        <f>AY20+AZ20+BA20+BB20+BC20+BD20+BE20+BF20+BG20+BH20+BI20+BJ20</f>
        <v/>
      </c>
    </row>
    <row r="21" ht="15" customHeight="1" s="104">
      <c r="A21" s="106" t="inlineStr">
        <is>
          <t>ADD-ON 4</t>
        </is>
      </c>
    </row>
    <row r="22" ht="15" customHeight="1" s="104">
      <c r="A22" s="107" t="inlineStr">
        <is>
          <t xml:space="preserve">    Add-On 4 – PP&amp;E D&amp;A</t>
        </is>
      </c>
      <c r="C22" s="156">
        <f>'Add-On 4'!C6*Assumptions!B38</f>
        <v/>
      </c>
      <c r="D22" s="156">
        <f>'Add-On 4'!D6*Assumptions!B38</f>
        <v/>
      </c>
      <c r="E22" s="156">
        <f>'Add-On 4'!E6*Assumptions!B38</f>
        <v/>
      </c>
      <c r="F22" s="156">
        <f>'Add-On 4'!F6*Assumptions!B38</f>
        <v/>
      </c>
      <c r="G22" s="156">
        <f>'Add-On 4'!G6*Assumptions!B38</f>
        <v/>
      </c>
      <c r="H22" s="156">
        <f>'Add-On 4'!H6*Assumptions!B38</f>
        <v/>
      </c>
      <c r="I22" s="156">
        <f>'Add-On 4'!I6*Assumptions!B38</f>
        <v/>
      </c>
      <c r="J22" s="156">
        <f>'Add-On 4'!J6*Assumptions!B38</f>
        <v/>
      </c>
      <c r="K22" s="156">
        <f>'Add-On 4'!K6*Assumptions!B38</f>
        <v/>
      </c>
      <c r="L22" s="156">
        <f>'Add-On 4'!L6*Assumptions!B38</f>
        <v/>
      </c>
      <c r="M22" s="156">
        <f>'Add-On 4'!M6*Assumptions!B38</f>
        <v/>
      </c>
      <c r="N22" s="156">
        <f>'Add-On 4'!N6*Assumptions!B38</f>
        <v/>
      </c>
      <c r="O22" s="156">
        <f>'Add-On 4'!O6*Assumptions!B38</f>
        <v/>
      </c>
      <c r="P22" s="156">
        <f>'Add-On 4'!P6*Assumptions!B38</f>
        <v/>
      </c>
      <c r="Q22" s="156">
        <f>'Add-On 4'!Q6*Assumptions!B38</f>
        <v/>
      </c>
      <c r="R22" s="156">
        <f>'Add-On 4'!R6*Assumptions!B38</f>
        <v/>
      </c>
      <c r="S22" s="156">
        <f>'Add-On 4'!S6*Assumptions!B38</f>
        <v/>
      </c>
      <c r="T22" s="156">
        <f>'Add-On 4'!T6*Assumptions!B38</f>
        <v/>
      </c>
      <c r="U22" s="156">
        <f>'Add-On 4'!U6*Assumptions!B38</f>
        <v/>
      </c>
      <c r="V22" s="156">
        <f>'Add-On 4'!V6*Assumptions!B38</f>
        <v/>
      </c>
      <c r="W22" s="156">
        <f>'Add-On 4'!W6*Assumptions!B38</f>
        <v/>
      </c>
      <c r="X22" s="156">
        <f>'Add-On 4'!X6*Assumptions!B38</f>
        <v/>
      </c>
      <c r="Y22" s="156">
        <f>'Add-On 4'!Y6*Assumptions!B38</f>
        <v/>
      </c>
      <c r="Z22" s="156">
        <f>'Add-On 4'!Z6*Assumptions!B38</f>
        <v/>
      </c>
      <c r="AA22" s="156">
        <f>'Add-On 4'!AA6*Assumptions!B38</f>
        <v/>
      </c>
      <c r="AB22" s="156">
        <f>'Add-On 4'!AB6*Assumptions!B38</f>
        <v/>
      </c>
      <c r="AC22" s="156">
        <f>'Add-On 4'!AC6*Assumptions!B38</f>
        <v/>
      </c>
      <c r="AD22" s="156">
        <f>'Add-On 4'!AD6*Assumptions!B38</f>
        <v/>
      </c>
      <c r="AE22" s="156">
        <f>'Add-On 4'!AE6*Assumptions!B38</f>
        <v/>
      </c>
      <c r="AF22" s="156">
        <f>'Add-On 4'!AF6*Assumptions!B38</f>
        <v/>
      </c>
      <c r="AG22" s="156">
        <f>'Add-On 4'!AG6*Assumptions!B38</f>
        <v/>
      </c>
      <c r="AH22" s="156">
        <f>'Add-On 4'!AH6*Assumptions!B38</f>
        <v/>
      </c>
      <c r="AI22" s="156">
        <f>'Add-On 4'!AI6*Assumptions!B38</f>
        <v/>
      </c>
      <c r="AJ22" s="156">
        <f>'Add-On 4'!AJ6*Assumptions!B38</f>
        <v/>
      </c>
      <c r="AK22" s="156">
        <f>'Add-On 4'!AK6*Assumptions!B38</f>
        <v/>
      </c>
      <c r="AL22" s="156">
        <f>'Add-On 4'!AL6*Assumptions!B38</f>
        <v/>
      </c>
      <c r="AM22" s="156">
        <f>'Add-On 4'!AM6*Assumptions!B38</f>
        <v/>
      </c>
      <c r="AN22" s="156">
        <f>'Add-On 4'!AN6*Assumptions!B38</f>
        <v/>
      </c>
      <c r="AO22" s="156">
        <f>'Add-On 4'!AO6*Assumptions!B38</f>
        <v/>
      </c>
      <c r="AP22" s="156">
        <f>'Add-On 4'!AP6*Assumptions!B38</f>
        <v/>
      </c>
      <c r="AQ22" s="156">
        <f>'Add-On 4'!AQ6*Assumptions!B38</f>
        <v/>
      </c>
      <c r="AR22" s="156">
        <f>'Add-On 4'!AR6*Assumptions!B38</f>
        <v/>
      </c>
      <c r="AS22" s="156">
        <f>'Add-On 4'!AS6*Assumptions!B38</f>
        <v/>
      </c>
      <c r="AT22" s="156">
        <f>'Add-On 4'!AT6*Assumptions!B38</f>
        <v/>
      </c>
      <c r="AU22" s="156">
        <f>'Add-On 4'!AU6*Assumptions!B38</f>
        <v/>
      </c>
      <c r="AV22" s="156">
        <f>'Add-On 4'!AV6*Assumptions!B38</f>
        <v/>
      </c>
      <c r="AW22" s="156">
        <f>'Add-On 4'!AW6*Assumptions!B38</f>
        <v/>
      </c>
      <c r="AX22" s="156">
        <f>'Add-On 4'!AX6*Assumptions!B38</f>
        <v/>
      </c>
      <c r="AY22" s="156">
        <f>'Add-On 4'!AY6*Assumptions!B38</f>
        <v/>
      </c>
      <c r="AZ22" s="156">
        <f>'Add-On 4'!AZ6*Assumptions!B38</f>
        <v/>
      </c>
      <c r="BA22" s="156">
        <f>'Add-On 4'!BA6*Assumptions!B38</f>
        <v/>
      </c>
      <c r="BB22" s="156">
        <f>'Add-On 4'!BB6*Assumptions!B38</f>
        <v/>
      </c>
      <c r="BC22" s="156">
        <f>'Add-On 4'!BC6*Assumptions!B38</f>
        <v/>
      </c>
      <c r="BD22" s="156">
        <f>'Add-On 4'!BD6*Assumptions!B38</f>
        <v/>
      </c>
      <c r="BE22" s="156">
        <f>'Add-On 4'!BE6*Assumptions!B38</f>
        <v/>
      </c>
      <c r="BF22" s="156">
        <f>'Add-On 4'!BF6*Assumptions!B38</f>
        <v/>
      </c>
      <c r="BG22" s="156">
        <f>'Add-On 4'!BG6*Assumptions!B38</f>
        <v/>
      </c>
      <c r="BH22" s="156">
        <f>'Add-On 4'!BH6*Assumptions!B38</f>
        <v/>
      </c>
      <c r="BI22" s="156">
        <f>'Add-On 4'!BI6*Assumptions!B38</f>
        <v/>
      </c>
      <c r="BJ22" s="156">
        <f>'Add-On 4'!BJ6*Assumptions!B38</f>
        <v/>
      </c>
      <c r="BL22" s="157">
        <f>C22+D22+E22+F22+G22+H22+I22+J22+K22+L22+M22+N22</f>
        <v/>
      </c>
      <c r="BM22" s="157">
        <f>O22+P22+Q22+R22+S22+T22+U22+V22+W22+X22+Y22+Z22</f>
        <v/>
      </c>
      <c r="BN22" s="157">
        <f>AA22+AB22+AC22+AD22+AE22+AF22+AG22+AH22+AI22+AJ22+AK22+AL22</f>
        <v/>
      </c>
      <c r="BO22" s="157">
        <f>AM22+AN22+AO22+AP22+AQ22+AR22+AS22+AT22+AU22+AV22+AW22+AX22</f>
        <v/>
      </c>
      <c r="BP22" s="157">
        <f>AY22+AZ22+BA22+BB22+BC22+BD22+BE22+BF22+BG22+BH22+BI22+BJ22</f>
        <v/>
      </c>
    </row>
    <row r="23" ht="15" customHeight="1" s="104">
      <c r="A23" s="107" t="inlineStr">
        <is>
          <t xml:space="preserve">    Add-On 4 – Goodwill Amort (§197)</t>
        </is>
      </c>
      <c r="C23" s="156">
        <f>IF('Add-On 4'!C4=0,0,Assumptions!C54*Assumptions!D54*Assumptions!E54/(Assumptions!B13*12))</f>
        <v/>
      </c>
      <c r="D23" s="156">
        <f>IF('Add-On 4'!D4=0,0,Assumptions!C54*Assumptions!D54*Assumptions!E54/(Assumptions!B13*12))</f>
        <v/>
      </c>
      <c r="E23" s="156">
        <f>IF('Add-On 4'!E4=0,0,Assumptions!C54*Assumptions!D54*Assumptions!E54/(Assumptions!B13*12))</f>
        <v/>
      </c>
      <c r="F23" s="156">
        <f>IF('Add-On 4'!F4=0,0,Assumptions!C54*Assumptions!D54*Assumptions!E54/(Assumptions!B13*12))</f>
        <v/>
      </c>
      <c r="G23" s="156">
        <f>IF('Add-On 4'!G4=0,0,Assumptions!C54*Assumptions!D54*Assumptions!E54/(Assumptions!B13*12))</f>
        <v/>
      </c>
      <c r="H23" s="156">
        <f>IF('Add-On 4'!H4=0,0,Assumptions!C54*Assumptions!D54*Assumptions!E54/(Assumptions!B13*12))</f>
        <v/>
      </c>
      <c r="I23" s="156">
        <f>IF('Add-On 4'!I4=0,0,Assumptions!C54*Assumptions!D54*Assumptions!E54/(Assumptions!B13*12))</f>
        <v/>
      </c>
      <c r="J23" s="156">
        <f>IF('Add-On 4'!J4=0,0,Assumptions!C54*Assumptions!D54*Assumptions!E54/(Assumptions!B13*12))</f>
        <v/>
      </c>
      <c r="K23" s="156">
        <f>IF('Add-On 4'!K4=0,0,Assumptions!C54*Assumptions!D54*Assumptions!E54/(Assumptions!B13*12))</f>
        <v/>
      </c>
      <c r="L23" s="156">
        <f>IF('Add-On 4'!L4=0,0,Assumptions!C54*Assumptions!D54*Assumptions!E54/(Assumptions!B13*12))</f>
        <v/>
      </c>
      <c r="M23" s="156">
        <f>IF('Add-On 4'!M4=0,0,Assumptions!C54*Assumptions!D54*Assumptions!E54/(Assumptions!B13*12))</f>
        <v/>
      </c>
      <c r="N23" s="156">
        <f>IF('Add-On 4'!N4=0,0,Assumptions!C54*Assumptions!D54*Assumptions!E54/(Assumptions!B13*12))</f>
        <v/>
      </c>
      <c r="O23" s="156">
        <f>IF('Add-On 4'!O4=0,0,Assumptions!C54*Assumptions!D54*Assumptions!E54/(Assumptions!B13*12))</f>
        <v/>
      </c>
      <c r="P23" s="156">
        <f>IF('Add-On 4'!P4=0,0,Assumptions!C54*Assumptions!D54*Assumptions!E54/(Assumptions!B13*12))</f>
        <v/>
      </c>
      <c r="Q23" s="156">
        <f>IF('Add-On 4'!Q4=0,0,Assumptions!C54*Assumptions!D54*Assumptions!E54/(Assumptions!B13*12))</f>
        <v/>
      </c>
      <c r="R23" s="156">
        <f>IF('Add-On 4'!R4=0,0,Assumptions!C54*Assumptions!D54*Assumptions!E54/(Assumptions!B13*12))</f>
        <v/>
      </c>
      <c r="S23" s="156">
        <f>IF('Add-On 4'!S4=0,0,Assumptions!C54*Assumptions!D54*Assumptions!E54/(Assumptions!B13*12))</f>
        <v/>
      </c>
      <c r="T23" s="156">
        <f>IF('Add-On 4'!T4=0,0,Assumptions!C54*Assumptions!D54*Assumptions!E54/(Assumptions!B13*12))</f>
        <v/>
      </c>
      <c r="U23" s="156">
        <f>IF('Add-On 4'!U4=0,0,Assumptions!C54*Assumptions!D54*Assumptions!E54/(Assumptions!B13*12))</f>
        <v/>
      </c>
      <c r="V23" s="156">
        <f>IF('Add-On 4'!V4=0,0,Assumptions!C54*Assumptions!D54*Assumptions!E54/(Assumptions!B13*12))</f>
        <v/>
      </c>
      <c r="W23" s="156">
        <f>IF('Add-On 4'!W4=0,0,Assumptions!C54*Assumptions!D54*Assumptions!E54/(Assumptions!B13*12))</f>
        <v/>
      </c>
      <c r="X23" s="156">
        <f>IF('Add-On 4'!X4=0,0,Assumptions!C54*Assumptions!D54*Assumptions!E54/(Assumptions!B13*12))</f>
        <v/>
      </c>
      <c r="Y23" s="156">
        <f>IF('Add-On 4'!Y4=0,0,Assumptions!C54*Assumptions!D54*Assumptions!E54/(Assumptions!B13*12))</f>
        <v/>
      </c>
      <c r="Z23" s="156">
        <f>IF('Add-On 4'!Z4=0,0,Assumptions!C54*Assumptions!D54*Assumptions!E54/(Assumptions!B13*12))</f>
        <v/>
      </c>
      <c r="AA23" s="156">
        <f>IF('Add-On 4'!AA4=0,0,Assumptions!C54*Assumptions!D54*Assumptions!E54/(Assumptions!B13*12))</f>
        <v/>
      </c>
      <c r="AB23" s="156">
        <f>IF('Add-On 4'!AB4=0,0,Assumptions!C54*Assumptions!D54*Assumptions!E54/(Assumptions!B13*12))</f>
        <v/>
      </c>
      <c r="AC23" s="156">
        <f>IF('Add-On 4'!AC4=0,0,Assumptions!C54*Assumptions!D54*Assumptions!E54/(Assumptions!B13*12))</f>
        <v/>
      </c>
      <c r="AD23" s="156">
        <f>IF('Add-On 4'!AD4=0,0,Assumptions!C54*Assumptions!D54*Assumptions!E54/(Assumptions!B13*12))</f>
        <v/>
      </c>
      <c r="AE23" s="156">
        <f>IF('Add-On 4'!AE4=0,0,Assumptions!C54*Assumptions!D54*Assumptions!E54/(Assumptions!B13*12))</f>
        <v/>
      </c>
      <c r="AF23" s="156">
        <f>IF('Add-On 4'!AF4=0,0,Assumptions!C54*Assumptions!D54*Assumptions!E54/(Assumptions!B13*12))</f>
        <v/>
      </c>
      <c r="AG23" s="156">
        <f>IF('Add-On 4'!AG4=0,0,Assumptions!C54*Assumptions!D54*Assumptions!E54/(Assumptions!B13*12))</f>
        <v/>
      </c>
      <c r="AH23" s="156">
        <f>IF('Add-On 4'!AH4=0,0,Assumptions!C54*Assumptions!D54*Assumptions!E54/(Assumptions!B13*12))</f>
        <v/>
      </c>
      <c r="AI23" s="156">
        <f>IF('Add-On 4'!AI4=0,0,Assumptions!C54*Assumptions!D54*Assumptions!E54/(Assumptions!B13*12))</f>
        <v/>
      </c>
      <c r="AJ23" s="156">
        <f>IF('Add-On 4'!AJ4=0,0,Assumptions!C54*Assumptions!D54*Assumptions!E54/(Assumptions!B13*12))</f>
        <v/>
      </c>
      <c r="AK23" s="156">
        <f>IF('Add-On 4'!AK4=0,0,Assumptions!C54*Assumptions!D54*Assumptions!E54/(Assumptions!B13*12))</f>
        <v/>
      </c>
      <c r="AL23" s="156">
        <f>IF('Add-On 4'!AL4=0,0,Assumptions!C54*Assumptions!D54*Assumptions!E54/(Assumptions!B13*12))</f>
        <v/>
      </c>
      <c r="AM23" s="156">
        <f>IF('Add-On 4'!AM4=0,0,Assumptions!C54*Assumptions!D54*Assumptions!E54/(Assumptions!B13*12))</f>
        <v/>
      </c>
      <c r="AN23" s="156">
        <f>IF('Add-On 4'!AN4=0,0,Assumptions!C54*Assumptions!D54*Assumptions!E54/(Assumptions!B13*12))</f>
        <v/>
      </c>
      <c r="AO23" s="156">
        <f>IF('Add-On 4'!AO4=0,0,Assumptions!C54*Assumptions!D54*Assumptions!E54/(Assumptions!B13*12))</f>
        <v/>
      </c>
      <c r="AP23" s="156">
        <f>IF('Add-On 4'!AP4=0,0,Assumptions!C54*Assumptions!D54*Assumptions!E54/(Assumptions!B13*12))</f>
        <v/>
      </c>
      <c r="AQ23" s="156">
        <f>IF('Add-On 4'!AQ4=0,0,Assumptions!C54*Assumptions!D54*Assumptions!E54/(Assumptions!B13*12))</f>
        <v/>
      </c>
      <c r="AR23" s="156">
        <f>IF('Add-On 4'!AR4=0,0,Assumptions!C54*Assumptions!D54*Assumptions!E54/(Assumptions!B13*12))</f>
        <v/>
      </c>
      <c r="AS23" s="156">
        <f>IF('Add-On 4'!AS4=0,0,Assumptions!C54*Assumptions!D54*Assumptions!E54/(Assumptions!B13*12))</f>
        <v/>
      </c>
      <c r="AT23" s="156">
        <f>IF('Add-On 4'!AT4=0,0,Assumptions!C54*Assumptions!D54*Assumptions!E54/(Assumptions!B13*12))</f>
        <v/>
      </c>
      <c r="AU23" s="156">
        <f>IF('Add-On 4'!AU4=0,0,Assumptions!C54*Assumptions!D54*Assumptions!E54/(Assumptions!B13*12))</f>
        <v/>
      </c>
      <c r="AV23" s="156">
        <f>IF('Add-On 4'!AV4=0,0,Assumptions!C54*Assumptions!D54*Assumptions!E54/(Assumptions!B13*12))</f>
        <v/>
      </c>
      <c r="AW23" s="156">
        <f>IF('Add-On 4'!AW4=0,0,Assumptions!C54*Assumptions!D54*Assumptions!E54/(Assumptions!B13*12))</f>
        <v/>
      </c>
      <c r="AX23" s="156">
        <f>IF('Add-On 4'!AX4=0,0,Assumptions!C54*Assumptions!D54*Assumptions!E54/(Assumptions!B13*12))</f>
        <v/>
      </c>
      <c r="AY23" s="156">
        <f>IF('Add-On 4'!AY4=0,0,Assumptions!C54*Assumptions!D54*Assumptions!E54/(Assumptions!B13*12))</f>
        <v/>
      </c>
      <c r="AZ23" s="156">
        <f>IF('Add-On 4'!AZ4=0,0,Assumptions!C54*Assumptions!D54*Assumptions!E54/(Assumptions!B13*12))</f>
        <v/>
      </c>
      <c r="BA23" s="156">
        <f>IF('Add-On 4'!BA4=0,0,Assumptions!C54*Assumptions!D54*Assumptions!E54/(Assumptions!B13*12))</f>
        <v/>
      </c>
      <c r="BB23" s="156">
        <f>IF('Add-On 4'!BB4=0,0,Assumptions!C54*Assumptions!D54*Assumptions!E54/(Assumptions!B13*12))</f>
        <v/>
      </c>
      <c r="BC23" s="156">
        <f>IF('Add-On 4'!BC4=0,0,Assumptions!C54*Assumptions!D54*Assumptions!E54/(Assumptions!B13*12))</f>
        <v/>
      </c>
      <c r="BD23" s="156">
        <f>IF('Add-On 4'!BD4=0,0,Assumptions!C54*Assumptions!D54*Assumptions!E54/(Assumptions!B13*12))</f>
        <v/>
      </c>
      <c r="BE23" s="156">
        <f>IF('Add-On 4'!BE4=0,0,Assumptions!C54*Assumptions!D54*Assumptions!E54/(Assumptions!B13*12))</f>
        <v/>
      </c>
      <c r="BF23" s="156">
        <f>IF('Add-On 4'!BF4=0,0,Assumptions!C54*Assumptions!D54*Assumptions!E54/(Assumptions!B13*12))</f>
        <v/>
      </c>
      <c r="BG23" s="156">
        <f>IF('Add-On 4'!BG4=0,0,Assumptions!C54*Assumptions!D54*Assumptions!E54/(Assumptions!B13*12))</f>
        <v/>
      </c>
      <c r="BH23" s="156">
        <f>IF('Add-On 4'!BH4=0,0,Assumptions!C54*Assumptions!D54*Assumptions!E54/(Assumptions!B13*12))</f>
        <v/>
      </c>
      <c r="BI23" s="156">
        <f>IF('Add-On 4'!BI4=0,0,Assumptions!C54*Assumptions!D54*Assumptions!E54/(Assumptions!B13*12))</f>
        <v/>
      </c>
      <c r="BJ23" s="156">
        <f>IF('Add-On 4'!BJ4=0,0,Assumptions!C54*Assumptions!D54*Assumptions!E54/(Assumptions!B13*12))</f>
        <v/>
      </c>
      <c r="BL23" s="157">
        <f>C23+D23+E23+F23+G23+H23+I23+J23+K23+L23+M23+N23</f>
        <v/>
      </c>
      <c r="BM23" s="157">
        <f>O23+P23+Q23+R23+S23+T23+U23+V23+W23+X23+Y23+Z23</f>
        <v/>
      </c>
      <c r="BN23" s="157">
        <f>AA23+AB23+AC23+AD23+AE23+AF23+AG23+AH23+AI23+AJ23+AK23+AL23</f>
        <v/>
      </c>
      <c r="BO23" s="157">
        <f>AM23+AN23+AO23+AP23+AQ23+AR23+AS23+AT23+AU23+AV23+AW23+AX23</f>
        <v/>
      </c>
      <c r="BP23" s="157">
        <f>AY23+AZ23+BA23+BB23+BC23+BD23+BE23+BF23+BG23+BH23+BI23+BJ23</f>
        <v/>
      </c>
    </row>
    <row r="24" ht="15" customHeight="1" s="104">
      <c r="A24" s="116" t="inlineStr">
        <is>
          <t xml:space="preserve">    Add-On 4 – Total D&amp;A</t>
        </is>
      </c>
      <c r="C24" s="151">
        <f>C22+C23</f>
        <v/>
      </c>
      <c r="D24" s="151">
        <f>D22+D23</f>
        <v/>
      </c>
      <c r="E24" s="151">
        <f>E22+E23</f>
        <v/>
      </c>
      <c r="F24" s="151">
        <f>F22+F23</f>
        <v/>
      </c>
      <c r="G24" s="151">
        <f>G22+G23</f>
        <v/>
      </c>
      <c r="H24" s="151">
        <f>H22+H23</f>
        <v/>
      </c>
      <c r="I24" s="151">
        <f>I22+I23</f>
        <v/>
      </c>
      <c r="J24" s="151">
        <f>J22+J23</f>
        <v/>
      </c>
      <c r="K24" s="151">
        <f>K22+K23</f>
        <v/>
      </c>
      <c r="L24" s="151">
        <f>L22+L23</f>
        <v/>
      </c>
      <c r="M24" s="151">
        <f>M22+M23</f>
        <v/>
      </c>
      <c r="N24" s="151">
        <f>N22+N23</f>
        <v/>
      </c>
      <c r="O24" s="151">
        <f>O22+O23</f>
        <v/>
      </c>
      <c r="P24" s="151">
        <f>P22+P23</f>
        <v/>
      </c>
      <c r="Q24" s="151">
        <f>Q22+Q23</f>
        <v/>
      </c>
      <c r="R24" s="151">
        <f>R22+R23</f>
        <v/>
      </c>
      <c r="S24" s="151">
        <f>S22+S23</f>
        <v/>
      </c>
      <c r="T24" s="151">
        <f>T22+T23</f>
        <v/>
      </c>
      <c r="U24" s="151">
        <f>U22+U23</f>
        <v/>
      </c>
      <c r="V24" s="151">
        <f>V22+V23</f>
        <v/>
      </c>
      <c r="W24" s="151">
        <f>W22+W23</f>
        <v/>
      </c>
      <c r="X24" s="151">
        <f>X22+X23</f>
        <v/>
      </c>
      <c r="Y24" s="151">
        <f>Y22+Y23</f>
        <v/>
      </c>
      <c r="Z24" s="151">
        <f>Z22+Z23</f>
        <v/>
      </c>
      <c r="AA24" s="151">
        <f>AA22+AA23</f>
        <v/>
      </c>
      <c r="AB24" s="151">
        <f>AB22+AB23</f>
        <v/>
      </c>
      <c r="AC24" s="151">
        <f>AC22+AC23</f>
        <v/>
      </c>
      <c r="AD24" s="151">
        <f>AD22+AD23</f>
        <v/>
      </c>
      <c r="AE24" s="151">
        <f>AE22+AE23</f>
        <v/>
      </c>
      <c r="AF24" s="151">
        <f>AF22+AF23</f>
        <v/>
      </c>
      <c r="AG24" s="151">
        <f>AG22+AG23</f>
        <v/>
      </c>
      <c r="AH24" s="151">
        <f>AH22+AH23</f>
        <v/>
      </c>
      <c r="AI24" s="151">
        <f>AI22+AI23</f>
        <v/>
      </c>
      <c r="AJ24" s="151">
        <f>AJ22+AJ23</f>
        <v/>
      </c>
      <c r="AK24" s="151">
        <f>AK22+AK23</f>
        <v/>
      </c>
      <c r="AL24" s="151">
        <f>AL22+AL23</f>
        <v/>
      </c>
      <c r="AM24" s="151">
        <f>AM22+AM23</f>
        <v/>
      </c>
      <c r="AN24" s="151">
        <f>AN22+AN23</f>
        <v/>
      </c>
      <c r="AO24" s="151">
        <f>AO22+AO23</f>
        <v/>
      </c>
      <c r="AP24" s="151">
        <f>AP22+AP23</f>
        <v/>
      </c>
      <c r="AQ24" s="151">
        <f>AQ22+AQ23</f>
        <v/>
      </c>
      <c r="AR24" s="151">
        <f>AR22+AR23</f>
        <v/>
      </c>
      <c r="AS24" s="151">
        <f>AS22+AS23</f>
        <v/>
      </c>
      <c r="AT24" s="151">
        <f>AT22+AT23</f>
        <v/>
      </c>
      <c r="AU24" s="151">
        <f>AU22+AU23</f>
        <v/>
      </c>
      <c r="AV24" s="151">
        <f>AV22+AV23</f>
        <v/>
      </c>
      <c r="AW24" s="151">
        <f>AW22+AW23</f>
        <v/>
      </c>
      <c r="AX24" s="151">
        <f>AX22+AX23</f>
        <v/>
      </c>
      <c r="AY24" s="151">
        <f>AY22+AY23</f>
        <v/>
      </c>
      <c r="AZ24" s="151">
        <f>AZ22+AZ23</f>
        <v/>
      </c>
      <c r="BA24" s="151">
        <f>BA22+BA23</f>
        <v/>
      </c>
      <c r="BB24" s="151">
        <f>BB22+BB23</f>
        <v/>
      </c>
      <c r="BC24" s="151">
        <f>BC22+BC23</f>
        <v/>
      </c>
      <c r="BD24" s="151">
        <f>BD22+BD23</f>
        <v/>
      </c>
      <c r="BE24" s="151">
        <f>BE22+BE23</f>
        <v/>
      </c>
      <c r="BF24" s="151">
        <f>BF22+BF23</f>
        <v/>
      </c>
      <c r="BG24" s="151">
        <f>BG22+BG23</f>
        <v/>
      </c>
      <c r="BH24" s="151">
        <f>BH22+BH23</f>
        <v/>
      </c>
      <c r="BI24" s="151">
        <f>BI22+BI23</f>
        <v/>
      </c>
      <c r="BJ24" s="151">
        <f>BJ22+BJ23</f>
        <v/>
      </c>
      <c r="BL24" s="152">
        <f>C24+D24+E24+F24+G24+H24+I24+J24+K24+L24+M24+N24</f>
        <v/>
      </c>
      <c r="BM24" s="152">
        <f>O24+P24+Q24+R24+S24+T24+U24+V24+W24+X24+Y24+Z24</f>
        <v/>
      </c>
      <c r="BN24" s="152">
        <f>AA24+AB24+AC24+AD24+AE24+AF24+AG24+AH24+AI24+AJ24+AK24+AL24</f>
        <v/>
      </c>
      <c r="BO24" s="152">
        <f>AM24+AN24+AO24+AP24+AQ24+AR24+AS24+AT24+AU24+AV24+AW24+AX24</f>
        <v/>
      </c>
      <c r="BP24" s="152">
        <f>AY24+AZ24+BA24+BB24+BC24+BD24+BE24+BF24+BG24+BH24+BI24+BJ24</f>
        <v/>
      </c>
    </row>
    <row r="25" ht="15" customHeight="1" s="104">
      <c r="A25" s="106" t="inlineStr">
        <is>
          <t>ADD-ON 5</t>
        </is>
      </c>
    </row>
    <row r="26" ht="15" customHeight="1" s="104">
      <c r="A26" s="107" t="inlineStr">
        <is>
          <t xml:space="preserve">    Add-On 5 – PP&amp;E D&amp;A</t>
        </is>
      </c>
      <c r="C26" s="156">
        <f>'Add-On 5'!C6*Assumptions!B38</f>
        <v/>
      </c>
      <c r="D26" s="156">
        <f>'Add-On 5'!D6*Assumptions!B38</f>
        <v/>
      </c>
      <c r="E26" s="156">
        <f>'Add-On 5'!E6*Assumptions!B38</f>
        <v/>
      </c>
      <c r="F26" s="156">
        <f>'Add-On 5'!F6*Assumptions!B38</f>
        <v/>
      </c>
      <c r="G26" s="156">
        <f>'Add-On 5'!G6*Assumptions!B38</f>
        <v/>
      </c>
      <c r="H26" s="156">
        <f>'Add-On 5'!H6*Assumptions!B38</f>
        <v/>
      </c>
      <c r="I26" s="156">
        <f>'Add-On 5'!I6*Assumptions!B38</f>
        <v/>
      </c>
      <c r="J26" s="156">
        <f>'Add-On 5'!J6*Assumptions!B38</f>
        <v/>
      </c>
      <c r="K26" s="156">
        <f>'Add-On 5'!K6*Assumptions!B38</f>
        <v/>
      </c>
      <c r="L26" s="156">
        <f>'Add-On 5'!L6*Assumptions!B38</f>
        <v/>
      </c>
      <c r="M26" s="156">
        <f>'Add-On 5'!M6*Assumptions!B38</f>
        <v/>
      </c>
      <c r="N26" s="156">
        <f>'Add-On 5'!N6*Assumptions!B38</f>
        <v/>
      </c>
      <c r="O26" s="156">
        <f>'Add-On 5'!O6*Assumptions!B38</f>
        <v/>
      </c>
      <c r="P26" s="156">
        <f>'Add-On 5'!P6*Assumptions!B38</f>
        <v/>
      </c>
      <c r="Q26" s="156">
        <f>'Add-On 5'!Q6*Assumptions!B38</f>
        <v/>
      </c>
      <c r="R26" s="156">
        <f>'Add-On 5'!R6*Assumptions!B38</f>
        <v/>
      </c>
      <c r="S26" s="156">
        <f>'Add-On 5'!S6*Assumptions!B38</f>
        <v/>
      </c>
      <c r="T26" s="156">
        <f>'Add-On 5'!T6*Assumptions!B38</f>
        <v/>
      </c>
      <c r="U26" s="156">
        <f>'Add-On 5'!U6*Assumptions!B38</f>
        <v/>
      </c>
      <c r="V26" s="156">
        <f>'Add-On 5'!V6*Assumptions!B38</f>
        <v/>
      </c>
      <c r="W26" s="156">
        <f>'Add-On 5'!W6*Assumptions!B38</f>
        <v/>
      </c>
      <c r="X26" s="156">
        <f>'Add-On 5'!X6*Assumptions!B38</f>
        <v/>
      </c>
      <c r="Y26" s="156">
        <f>'Add-On 5'!Y6*Assumptions!B38</f>
        <v/>
      </c>
      <c r="Z26" s="156">
        <f>'Add-On 5'!Z6*Assumptions!B38</f>
        <v/>
      </c>
      <c r="AA26" s="156">
        <f>'Add-On 5'!AA6*Assumptions!B38</f>
        <v/>
      </c>
      <c r="AB26" s="156">
        <f>'Add-On 5'!AB6*Assumptions!B38</f>
        <v/>
      </c>
      <c r="AC26" s="156">
        <f>'Add-On 5'!AC6*Assumptions!B38</f>
        <v/>
      </c>
      <c r="AD26" s="156">
        <f>'Add-On 5'!AD6*Assumptions!B38</f>
        <v/>
      </c>
      <c r="AE26" s="156">
        <f>'Add-On 5'!AE6*Assumptions!B38</f>
        <v/>
      </c>
      <c r="AF26" s="156">
        <f>'Add-On 5'!AF6*Assumptions!B38</f>
        <v/>
      </c>
      <c r="AG26" s="156">
        <f>'Add-On 5'!AG6*Assumptions!B38</f>
        <v/>
      </c>
      <c r="AH26" s="156">
        <f>'Add-On 5'!AH6*Assumptions!B38</f>
        <v/>
      </c>
      <c r="AI26" s="156">
        <f>'Add-On 5'!AI6*Assumptions!B38</f>
        <v/>
      </c>
      <c r="AJ26" s="156">
        <f>'Add-On 5'!AJ6*Assumptions!B38</f>
        <v/>
      </c>
      <c r="AK26" s="156">
        <f>'Add-On 5'!AK6*Assumptions!B38</f>
        <v/>
      </c>
      <c r="AL26" s="156">
        <f>'Add-On 5'!AL6*Assumptions!B38</f>
        <v/>
      </c>
      <c r="AM26" s="156">
        <f>'Add-On 5'!AM6*Assumptions!B38</f>
        <v/>
      </c>
      <c r="AN26" s="156">
        <f>'Add-On 5'!AN6*Assumptions!B38</f>
        <v/>
      </c>
      <c r="AO26" s="156">
        <f>'Add-On 5'!AO6*Assumptions!B38</f>
        <v/>
      </c>
      <c r="AP26" s="156">
        <f>'Add-On 5'!AP6*Assumptions!B38</f>
        <v/>
      </c>
      <c r="AQ26" s="156">
        <f>'Add-On 5'!AQ6*Assumptions!B38</f>
        <v/>
      </c>
      <c r="AR26" s="156">
        <f>'Add-On 5'!AR6*Assumptions!B38</f>
        <v/>
      </c>
      <c r="AS26" s="156">
        <f>'Add-On 5'!AS6*Assumptions!B38</f>
        <v/>
      </c>
      <c r="AT26" s="156">
        <f>'Add-On 5'!AT6*Assumptions!B38</f>
        <v/>
      </c>
      <c r="AU26" s="156">
        <f>'Add-On 5'!AU6*Assumptions!B38</f>
        <v/>
      </c>
      <c r="AV26" s="156">
        <f>'Add-On 5'!AV6*Assumptions!B38</f>
        <v/>
      </c>
      <c r="AW26" s="156">
        <f>'Add-On 5'!AW6*Assumptions!B38</f>
        <v/>
      </c>
      <c r="AX26" s="156">
        <f>'Add-On 5'!AX6*Assumptions!B38</f>
        <v/>
      </c>
      <c r="AY26" s="156">
        <f>'Add-On 5'!AY6*Assumptions!B38</f>
        <v/>
      </c>
      <c r="AZ26" s="156">
        <f>'Add-On 5'!AZ6*Assumptions!B38</f>
        <v/>
      </c>
      <c r="BA26" s="156">
        <f>'Add-On 5'!BA6*Assumptions!B38</f>
        <v/>
      </c>
      <c r="BB26" s="156">
        <f>'Add-On 5'!BB6*Assumptions!B38</f>
        <v/>
      </c>
      <c r="BC26" s="156">
        <f>'Add-On 5'!BC6*Assumptions!B38</f>
        <v/>
      </c>
      <c r="BD26" s="156">
        <f>'Add-On 5'!BD6*Assumptions!B38</f>
        <v/>
      </c>
      <c r="BE26" s="156">
        <f>'Add-On 5'!BE6*Assumptions!B38</f>
        <v/>
      </c>
      <c r="BF26" s="156">
        <f>'Add-On 5'!BF6*Assumptions!B38</f>
        <v/>
      </c>
      <c r="BG26" s="156">
        <f>'Add-On 5'!BG6*Assumptions!B38</f>
        <v/>
      </c>
      <c r="BH26" s="156">
        <f>'Add-On 5'!BH6*Assumptions!B38</f>
        <v/>
      </c>
      <c r="BI26" s="156">
        <f>'Add-On 5'!BI6*Assumptions!B38</f>
        <v/>
      </c>
      <c r="BJ26" s="156">
        <f>'Add-On 5'!BJ6*Assumptions!B38</f>
        <v/>
      </c>
      <c r="BL26" s="157">
        <f>C26+D26+E26+F26+G26+H26+I26+J26+K26+L26+M26+N26</f>
        <v/>
      </c>
      <c r="BM26" s="157">
        <f>O26+P26+Q26+R26+S26+T26+U26+V26+W26+X26+Y26+Z26</f>
        <v/>
      </c>
      <c r="BN26" s="157">
        <f>AA26+AB26+AC26+AD26+AE26+AF26+AG26+AH26+AI26+AJ26+AK26+AL26</f>
        <v/>
      </c>
      <c r="BO26" s="157">
        <f>AM26+AN26+AO26+AP26+AQ26+AR26+AS26+AT26+AU26+AV26+AW26+AX26</f>
        <v/>
      </c>
      <c r="BP26" s="157">
        <f>AY26+AZ26+BA26+BB26+BC26+BD26+BE26+BF26+BG26+BH26+BI26+BJ26</f>
        <v/>
      </c>
    </row>
    <row r="27" ht="15" customHeight="1" s="104">
      <c r="A27" s="107" t="inlineStr">
        <is>
          <t xml:space="preserve">    Add-On 5 – Goodwill Amort (§197)</t>
        </is>
      </c>
      <c r="C27" s="156">
        <f>IF('Add-On 5'!C4=0,0,Assumptions!C55*Assumptions!D55*Assumptions!E55/(Assumptions!B13*12))</f>
        <v/>
      </c>
      <c r="D27" s="156">
        <f>IF('Add-On 5'!D4=0,0,Assumptions!C55*Assumptions!D55*Assumptions!E55/(Assumptions!B13*12))</f>
        <v/>
      </c>
      <c r="E27" s="156">
        <f>IF('Add-On 5'!E4=0,0,Assumptions!C55*Assumptions!D55*Assumptions!E55/(Assumptions!B13*12))</f>
        <v/>
      </c>
      <c r="F27" s="156">
        <f>IF('Add-On 5'!F4=0,0,Assumptions!C55*Assumptions!D55*Assumptions!E55/(Assumptions!B13*12))</f>
        <v/>
      </c>
      <c r="G27" s="156">
        <f>IF('Add-On 5'!G4=0,0,Assumptions!C55*Assumptions!D55*Assumptions!E55/(Assumptions!B13*12))</f>
        <v/>
      </c>
      <c r="H27" s="156">
        <f>IF('Add-On 5'!H4=0,0,Assumptions!C55*Assumptions!D55*Assumptions!E55/(Assumptions!B13*12))</f>
        <v/>
      </c>
      <c r="I27" s="156">
        <f>IF('Add-On 5'!I4=0,0,Assumptions!C55*Assumptions!D55*Assumptions!E55/(Assumptions!B13*12))</f>
        <v/>
      </c>
      <c r="J27" s="156">
        <f>IF('Add-On 5'!J4=0,0,Assumptions!C55*Assumptions!D55*Assumptions!E55/(Assumptions!B13*12))</f>
        <v/>
      </c>
      <c r="K27" s="156">
        <f>IF('Add-On 5'!K4=0,0,Assumptions!C55*Assumptions!D55*Assumptions!E55/(Assumptions!B13*12))</f>
        <v/>
      </c>
      <c r="L27" s="156">
        <f>IF('Add-On 5'!L4=0,0,Assumptions!C55*Assumptions!D55*Assumptions!E55/(Assumptions!B13*12))</f>
        <v/>
      </c>
      <c r="M27" s="156">
        <f>IF('Add-On 5'!M4=0,0,Assumptions!C55*Assumptions!D55*Assumptions!E55/(Assumptions!B13*12))</f>
        <v/>
      </c>
      <c r="N27" s="156">
        <f>IF('Add-On 5'!N4=0,0,Assumptions!C55*Assumptions!D55*Assumptions!E55/(Assumptions!B13*12))</f>
        <v/>
      </c>
      <c r="O27" s="156">
        <f>IF('Add-On 5'!O4=0,0,Assumptions!C55*Assumptions!D55*Assumptions!E55/(Assumptions!B13*12))</f>
        <v/>
      </c>
      <c r="P27" s="156">
        <f>IF('Add-On 5'!P4=0,0,Assumptions!C55*Assumptions!D55*Assumptions!E55/(Assumptions!B13*12))</f>
        <v/>
      </c>
      <c r="Q27" s="156">
        <f>IF('Add-On 5'!Q4=0,0,Assumptions!C55*Assumptions!D55*Assumptions!E55/(Assumptions!B13*12))</f>
        <v/>
      </c>
      <c r="R27" s="156">
        <f>IF('Add-On 5'!R4=0,0,Assumptions!C55*Assumptions!D55*Assumptions!E55/(Assumptions!B13*12))</f>
        <v/>
      </c>
      <c r="S27" s="156">
        <f>IF('Add-On 5'!S4=0,0,Assumptions!C55*Assumptions!D55*Assumptions!E55/(Assumptions!B13*12))</f>
        <v/>
      </c>
      <c r="T27" s="156">
        <f>IF('Add-On 5'!T4=0,0,Assumptions!C55*Assumptions!D55*Assumptions!E55/(Assumptions!B13*12))</f>
        <v/>
      </c>
      <c r="U27" s="156">
        <f>IF('Add-On 5'!U4=0,0,Assumptions!C55*Assumptions!D55*Assumptions!E55/(Assumptions!B13*12))</f>
        <v/>
      </c>
      <c r="V27" s="156">
        <f>IF('Add-On 5'!V4=0,0,Assumptions!C55*Assumptions!D55*Assumptions!E55/(Assumptions!B13*12))</f>
        <v/>
      </c>
      <c r="W27" s="156">
        <f>IF('Add-On 5'!W4=0,0,Assumptions!C55*Assumptions!D55*Assumptions!E55/(Assumptions!B13*12))</f>
        <v/>
      </c>
      <c r="X27" s="156">
        <f>IF('Add-On 5'!X4=0,0,Assumptions!C55*Assumptions!D55*Assumptions!E55/(Assumptions!B13*12))</f>
        <v/>
      </c>
      <c r="Y27" s="156">
        <f>IF('Add-On 5'!Y4=0,0,Assumptions!C55*Assumptions!D55*Assumptions!E55/(Assumptions!B13*12))</f>
        <v/>
      </c>
      <c r="Z27" s="156">
        <f>IF('Add-On 5'!Z4=0,0,Assumptions!C55*Assumptions!D55*Assumptions!E55/(Assumptions!B13*12))</f>
        <v/>
      </c>
      <c r="AA27" s="156">
        <f>IF('Add-On 5'!AA4=0,0,Assumptions!C55*Assumptions!D55*Assumptions!E55/(Assumptions!B13*12))</f>
        <v/>
      </c>
      <c r="AB27" s="156">
        <f>IF('Add-On 5'!AB4=0,0,Assumptions!C55*Assumptions!D55*Assumptions!E55/(Assumptions!B13*12))</f>
        <v/>
      </c>
      <c r="AC27" s="156">
        <f>IF('Add-On 5'!AC4=0,0,Assumptions!C55*Assumptions!D55*Assumptions!E55/(Assumptions!B13*12))</f>
        <v/>
      </c>
      <c r="AD27" s="156">
        <f>IF('Add-On 5'!AD4=0,0,Assumptions!C55*Assumptions!D55*Assumptions!E55/(Assumptions!B13*12))</f>
        <v/>
      </c>
      <c r="AE27" s="156">
        <f>IF('Add-On 5'!AE4=0,0,Assumptions!C55*Assumptions!D55*Assumptions!E55/(Assumptions!B13*12))</f>
        <v/>
      </c>
      <c r="AF27" s="156">
        <f>IF('Add-On 5'!AF4=0,0,Assumptions!C55*Assumptions!D55*Assumptions!E55/(Assumptions!B13*12))</f>
        <v/>
      </c>
      <c r="AG27" s="156">
        <f>IF('Add-On 5'!AG4=0,0,Assumptions!C55*Assumptions!D55*Assumptions!E55/(Assumptions!B13*12))</f>
        <v/>
      </c>
      <c r="AH27" s="156">
        <f>IF('Add-On 5'!AH4=0,0,Assumptions!C55*Assumptions!D55*Assumptions!E55/(Assumptions!B13*12))</f>
        <v/>
      </c>
      <c r="AI27" s="156">
        <f>IF('Add-On 5'!AI4=0,0,Assumptions!C55*Assumptions!D55*Assumptions!E55/(Assumptions!B13*12))</f>
        <v/>
      </c>
      <c r="AJ27" s="156">
        <f>IF('Add-On 5'!AJ4=0,0,Assumptions!C55*Assumptions!D55*Assumptions!E55/(Assumptions!B13*12))</f>
        <v/>
      </c>
      <c r="AK27" s="156">
        <f>IF('Add-On 5'!AK4=0,0,Assumptions!C55*Assumptions!D55*Assumptions!E55/(Assumptions!B13*12))</f>
        <v/>
      </c>
      <c r="AL27" s="156">
        <f>IF('Add-On 5'!AL4=0,0,Assumptions!C55*Assumptions!D55*Assumptions!E55/(Assumptions!B13*12))</f>
        <v/>
      </c>
      <c r="AM27" s="156">
        <f>IF('Add-On 5'!AM4=0,0,Assumptions!C55*Assumptions!D55*Assumptions!E55/(Assumptions!B13*12))</f>
        <v/>
      </c>
      <c r="AN27" s="156">
        <f>IF('Add-On 5'!AN4=0,0,Assumptions!C55*Assumptions!D55*Assumptions!E55/(Assumptions!B13*12))</f>
        <v/>
      </c>
      <c r="AO27" s="156">
        <f>IF('Add-On 5'!AO4=0,0,Assumptions!C55*Assumptions!D55*Assumptions!E55/(Assumptions!B13*12))</f>
        <v/>
      </c>
      <c r="AP27" s="156">
        <f>IF('Add-On 5'!AP4=0,0,Assumptions!C55*Assumptions!D55*Assumptions!E55/(Assumptions!B13*12))</f>
        <v/>
      </c>
      <c r="AQ27" s="156">
        <f>IF('Add-On 5'!AQ4=0,0,Assumptions!C55*Assumptions!D55*Assumptions!E55/(Assumptions!B13*12))</f>
        <v/>
      </c>
      <c r="AR27" s="156">
        <f>IF('Add-On 5'!AR4=0,0,Assumptions!C55*Assumptions!D55*Assumptions!E55/(Assumptions!B13*12))</f>
        <v/>
      </c>
      <c r="AS27" s="156">
        <f>IF('Add-On 5'!AS4=0,0,Assumptions!C55*Assumptions!D55*Assumptions!E55/(Assumptions!B13*12))</f>
        <v/>
      </c>
      <c r="AT27" s="156">
        <f>IF('Add-On 5'!AT4=0,0,Assumptions!C55*Assumptions!D55*Assumptions!E55/(Assumptions!B13*12))</f>
        <v/>
      </c>
      <c r="AU27" s="156">
        <f>IF('Add-On 5'!AU4=0,0,Assumptions!C55*Assumptions!D55*Assumptions!E55/(Assumptions!B13*12))</f>
        <v/>
      </c>
      <c r="AV27" s="156">
        <f>IF('Add-On 5'!AV4=0,0,Assumptions!C55*Assumptions!D55*Assumptions!E55/(Assumptions!B13*12))</f>
        <v/>
      </c>
      <c r="AW27" s="156">
        <f>IF('Add-On 5'!AW4=0,0,Assumptions!C55*Assumptions!D55*Assumptions!E55/(Assumptions!B13*12))</f>
        <v/>
      </c>
      <c r="AX27" s="156">
        <f>IF('Add-On 5'!AX4=0,0,Assumptions!C55*Assumptions!D55*Assumptions!E55/(Assumptions!B13*12))</f>
        <v/>
      </c>
      <c r="AY27" s="156">
        <f>IF('Add-On 5'!AY4=0,0,Assumptions!C55*Assumptions!D55*Assumptions!E55/(Assumptions!B13*12))</f>
        <v/>
      </c>
      <c r="AZ27" s="156">
        <f>IF('Add-On 5'!AZ4=0,0,Assumptions!C55*Assumptions!D55*Assumptions!E55/(Assumptions!B13*12))</f>
        <v/>
      </c>
      <c r="BA27" s="156">
        <f>IF('Add-On 5'!BA4=0,0,Assumptions!C55*Assumptions!D55*Assumptions!E55/(Assumptions!B13*12))</f>
        <v/>
      </c>
      <c r="BB27" s="156">
        <f>IF('Add-On 5'!BB4=0,0,Assumptions!C55*Assumptions!D55*Assumptions!E55/(Assumptions!B13*12))</f>
        <v/>
      </c>
      <c r="BC27" s="156">
        <f>IF('Add-On 5'!BC4=0,0,Assumptions!C55*Assumptions!D55*Assumptions!E55/(Assumptions!B13*12))</f>
        <v/>
      </c>
      <c r="BD27" s="156">
        <f>IF('Add-On 5'!BD4=0,0,Assumptions!C55*Assumptions!D55*Assumptions!E55/(Assumptions!B13*12))</f>
        <v/>
      </c>
      <c r="BE27" s="156">
        <f>IF('Add-On 5'!BE4=0,0,Assumptions!C55*Assumptions!D55*Assumptions!E55/(Assumptions!B13*12))</f>
        <v/>
      </c>
      <c r="BF27" s="156">
        <f>IF('Add-On 5'!BF4=0,0,Assumptions!C55*Assumptions!D55*Assumptions!E55/(Assumptions!B13*12))</f>
        <v/>
      </c>
      <c r="BG27" s="156">
        <f>IF('Add-On 5'!BG4=0,0,Assumptions!C55*Assumptions!D55*Assumptions!E55/(Assumptions!B13*12))</f>
        <v/>
      </c>
      <c r="BH27" s="156">
        <f>IF('Add-On 5'!BH4=0,0,Assumptions!C55*Assumptions!D55*Assumptions!E55/(Assumptions!B13*12))</f>
        <v/>
      </c>
      <c r="BI27" s="156">
        <f>IF('Add-On 5'!BI4=0,0,Assumptions!C55*Assumptions!D55*Assumptions!E55/(Assumptions!B13*12))</f>
        <v/>
      </c>
      <c r="BJ27" s="156">
        <f>IF('Add-On 5'!BJ4=0,0,Assumptions!C55*Assumptions!D55*Assumptions!E55/(Assumptions!B13*12))</f>
        <v/>
      </c>
      <c r="BL27" s="157">
        <f>C27+D27+E27+F27+G27+H27+I27+J27+K27+L27+M27+N27</f>
        <v/>
      </c>
      <c r="BM27" s="157">
        <f>O27+P27+Q27+R27+S27+T27+U27+V27+W27+X27+Y27+Z27</f>
        <v/>
      </c>
      <c r="BN27" s="157">
        <f>AA27+AB27+AC27+AD27+AE27+AF27+AG27+AH27+AI27+AJ27+AK27+AL27</f>
        <v/>
      </c>
      <c r="BO27" s="157">
        <f>AM27+AN27+AO27+AP27+AQ27+AR27+AS27+AT27+AU27+AV27+AW27+AX27</f>
        <v/>
      </c>
      <c r="BP27" s="157">
        <f>AY27+AZ27+BA27+BB27+BC27+BD27+BE27+BF27+BG27+BH27+BI27+BJ27</f>
        <v/>
      </c>
    </row>
    <row r="28" ht="15" customHeight="1" s="104">
      <c r="A28" s="116" t="inlineStr">
        <is>
          <t xml:space="preserve">    Add-On 5 – Total D&amp;A</t>
        </is>
      </c>
      <c r="C28" s="151">
        <f>C26+C27</f>
        <v/>
      </c>
      <c r="D28" s="151">
        <f>D26+D27</f>
        <v/>
      </c>
      <c r="E28" s="151">
        <f>E26+E27</f>
        <v/>
      </c>
      <c r="F28" s="151">
        <f>F26+F27</f>
        <v/>
      </c>
      <c r="G28" s="151">
        <f>G26+G27</f>
        <v/>
      </c>
      <c r="H28" s="151">
        <f>H26+H27</f>
        <v/>
      </c>
      <c r="I28" s="151">
        <f>I26+I27</f>
        <v/>
      </c>
      <c r="J28" s="151">
        <f>J26+J27</f>
        <v/>
      </c>
      <c r="K28" s="151">
        <f>K26+K27</f>
        <v/>
      </c>
      <c r="L28" s="151">
        <f>L26+L27</f>
        <v/>
      </c>
      <c r="M28" s="151">
        <f>M26+M27</f>
        <v/>
      </c>
      <c r="N28" s="151">
        <f>N26+N27</f>
        <v/>
      </c>
      <c r="O28" s="151">
        <f>O26+O27</f>
        <v/>
      </c>
      <c r="P28" s="151">
        <f>P26+P27</f>
        <v/>
      </c>
      <c r="Q28" s="151">
        <f>Q26+Q27</f>
        <v/>
      </c>
      <c r="R28" s="151">
        <f>R26+R27</f>
        <v/>
      </c>
      <c r="S28" s="151">
        <f>S26+S27</f>
        <v/>
      </c>
      <c r="T28" s="151">
        <f>T26+T27</f>
        <v/>
      </c>
      <c r="U28" s="151">
        <f>U26+U27</f>
        <v/>
      </c>
      <c r="V28" s="151">
        <f>V26+V27</f>
        <v/>
      </c>
      <c r="W28" s="151">
        <f>W26+W27</f>
        <v/>
      </c>
      <c r="X28" s="151">
        <f>X26+X27</f>
        <v/>
      </c>
      <c r="Y28" s="151">
        <f>Y26+Y27</f>
        <v/>
      </c>
      <c r="Z28" s="151">
        <f>Z26+Z27</f>
        <v/>
      </c>
      <c r="AA28" s="151">
        <f>AA26+AA27</f>
        <v/>
      </c>
      <c r="AB28" s="151">
        <f>AB26+AB27</f>
        <v/>
      </c>
      <c r="AC28" s="151">
        <f>AC26+AC27</f>
        <v/>
      </c>
      <c r="AD28" s="151">
        <f>AD26+AD27</f>
        <v/>
      </c>
      <c r="AE28" s="151">
        <f>AE26+AE27</f>
        <v/>
      </c>
      <c r="AF28" s="151">
        <f>AF26+AF27</f>
        <v/>
      </c>
      <c r="AG28" s="151">
        <f>AG26+AG27</f>
        <v/>
      </c>
      <c r="AH28" s="151">
        <f>AH26+AH27</f>
        <v/>
      </c>
      <c r="AI28" s="151">
        <f>AI26+AI27</f>
        <v/>
      </c>
      <c r="AJ28" s="151">
        <f>AJ26+AJ27</f>
        <v/>
      </c>
      <c r="AK28" s="151">
        <f>AK26+AK27</f>
        <v/>
      </c>
      <c r="AL28" s="151">
        <f>AL26+AL27</f>
        <v/>
      </c>
      <c r="AM28" s="151">
        <f>AM26+AM27</f>
        <v/>
      </c>
      <c r="AN28" s="151">
        <f>AN26+AN27</f>
        <v/>
      </c>
      <c r="AO28" s="151">
        <f>AO26+AO27</f>
        <v/>
      </c>
      <c r="AP28" s="151">
        <f>AP26+AP27</f>
        <v/>
      </c>
      <c r="AQ28" s="151">
        <f>AQ26+AQ27</f>
        <v/>
      </c>
      <c r="AR28" s="151">
        <f>AR26+AR27</f>
        <v/>
      </c>
      <c r="AS28" s="151">
        <f>AS26+AS27</f>
        <v/>
      </c>
      <c r="AT28" s="151">
        <f>AT26+AT27</f>
        <v/>
      </c>
      <c r="AU28" s="151">
        <f>AU26+AU27</f>
        <v/>
      </c>
      <c r="AV28" s="151">
        <f>AV26+AV27</f>
        <v/>
      </c>
      <c r="AW28" s="151">
        <f>AW26+AW27</f>
        <v/>
      </c>
      <c r="AX28" s="151">
        <f>AX26+AX27</f>
        <v/>
      </c>
      <c r="AY28" s="151">
        <f>AY26+AY27</f>
        <v/>
      </c>
      <c r="AZ28" s="151">
        <f>AZ26+AZ27</f>
        <v/>
      </c>
      <c r="BA28" s="151">
        <f>BA26+BA27</f>
        <v/>
      </c>
      <c r="BB28" s="151">
        <f>BB26+BB27</f>
        <v/>
      </c>
      <c r="BC28" s="151">
        <f>BC26+BC27</f>
        <v/>
      </c>
      <c r="BD28" s="151">
        <f>BD26+BD27</f>
        <v/>
      </c>
      <c r="BE28" s="151">
        <f>BE26+BE27</f>
        <v/>
      </c>
      <c r="BF28" s="151">
        <f>BF26+BF27</f>
        <v/>
      </c>
      <c r="BG28" s="151">
        <f>BG26+BG27</f>
        <v/>
      </c>
      <c r="BH28" s="151">
        <f>BH26+BH27</f>
        <v/>
      </c>
      <c r="BI28" s="151">
        <f>BI26+BI27</f>
        <v/>
      </c>
      <c r="BJ28" s="151">
        <f>BJ26+BJ27</f>
        <v/>
      </c>
      <c r="BL28" s="152">
        <f>C28+D28+E28+F28+G28+H28+I28+J28+K28+L28+M28+N28</f>
        <v/>
      </c>
      <c r="BM28" s="152">
        <f>O28+P28+Q28+R28+S28+T28+U28+V28+W28+X28+Y28+Z28</f>
        <v/>
      </c>
      <c r="BN28" s="152">
        <f>AA28+AB28+AC28+AD28+AE28+AF28+AG28+AH28+AI28+AJ28+AK28+AL28</f>
        <v/>
      </c>
      <c r="BO28" s="152">
        <f>AM28+AN28+AO28+AP28+AQ28+AR28+AS28+AT28+AU28+AV28+AW28+AX28</f>
        <v/>
      </c>
      <c r="BP28" s="152">
        <f>AY28+AZ28+BA28+BB28+BC28+BD28+BE28+BF28+BG28+BH28+BI28+BJ28</f>
        <v/>
      </c>
    </row>
    <row r="29" ht="15" customHeight="1" s="104">
      <c r="A29" s="106" t="inlineStr">
        <is>
          <t>ADD-ON 6</t>
        </is>
      </c>
    </row>
    <row r="30" ht="15" customHeight="1" s="104">
      <c r="A30" s="107" t="inlineStr">
        <is>
          <t xml:space="preserve">    Add-On 6 – PP&amp;E D&amp;A</t>
        </is>
      </c>
      <c r="C30" s="156">
        <f>'Add-On 6'!C6*Assumptions!B38</f>
        <v/>
      </c>
      <c r="D30" s="156">
        <f>'Add-On 6'!D6*Assumptions!B38</f>
        <v/>
      </c>
      <c r="E30" s="156">
        <f>'Add-On 6'!E6*Assumptions!B38</f>
        <v/>
      </c>
      <c r="F30" s="156">
        <f>'Add-On 6'!F6*Assumptions!B38</f>
        <v/>
      </c>
      <c r="G30" s="156">
        <f>'Add-On 6'!G6*Assumptions!B38</f>
        <v/>
      </c>
      <c r="H30" s="156">
        <f>'Add-On 6'!H6*Assumptions!B38</f>
        <v/>
      </c>
      <c r="I30" s="156">
        <f>'Add-On 6'!I6*Assumptions!B38</f>
        <v/>
      </c>
      <c r="J30" s="156">
        <f>'Add-On 6'!J6*Assumptions!B38</f>
        <v/>
      </c>
      <c r="K30" s="156">
        <f>'Add-On 6'!K6*Assumptions!B38</f>
        <v/>
      </c>
      <c r="L30" s="156">
        <f>'Add-On 6'!L6*Assumptions!B38</f>
        <v/>
      </c>
      <c r="M30" s="156">
        <f>'Add-On 6'!M6*Assumptions!B38</f>
        <v/>
      </c>
      <c r="N30" s="156">
        <f>'Add-On 6'!N6*Assumptions!B38</f>
        <v/>
      </c>
      <c r="O30" s="156">
        <f>'Add-On 6'!O6*Assumptions!B38</f>
        <v/>
      </c>
      <c r="P30" s="156">
        <f>'Add-On 6'!P6*Assumptions!B38</f>
        <v/>
      </c>
      <c r="Q30" s="156">
        <f>'Add-On 6'!Q6*Assumptions!B38</f>
        <v/>
      </c>
      <c r="R30" s="156">
        <f>'Add-On 6'!R6*Assumptions!B38</f>
        <v/>
      </c>
      <c r="S30" s="156">
        <f>'Add-On 6'!S6*Assumptions!B38</f>
        <v/>
      </c>
      <c r="T30" s="156">
        <f>'Add-On 6'!T6*Assumptions!B38</f>
        <v/>
      </c>
      <c r="U30" s="156">
        <f>'Add-On 6'!U6*Assumptions!B38</f>
        <v/>
      </c>
      <c r="V30" s="156">
        <f>'Add-On 6'!V6*Assumptions!B38</f>
        <v/>
      </c>
      <c r="W30" s="156">
        <f>'Add-On 6'!W6*Assumptions!B38</f>
        <v/>
      </c>
      <c r="X30" s="156">
        <f>'Add-On 6'!X6*Assumptions!B38</f>
        <v/>
      </c>
      <c r="Y30" s="156">
        <f>'Add-On 6'!Y6*Assumptions!B38</f>
        <v/>
      </c>
      <c r="Z30" s="156">
        <f>'Add-On 6'!Z6*Assumptions!B38</f>
        <v/>
      </c>
      <c r="AA30" s="156">
        <f>'Add-On 6'!AA6*Assumptions!B38</f>
        <v/>
      </c>
      <c r="AB30" s="156">
        <f>'Add-On 6'!AB6*Assumptions!B38</f>
        <v/>
      </c>
      <c r="AC30" s="156">
        <f>'Add-On 6'!AC6*Assumptions!B38</f>
        <v/>
      </c>
      <c r="AD30" s="156">
        <f>'Add-On 6'!AD6*Assumptions!B38</f>
        <v/>
      </c>
      <c r="AE30" s="156">
        <f>'Add-On 6'!AE6*Assumptions!B38</f>
        <v/>
      </c>
      <c r="AF30" s="156">
        <f>'Add-On 6'!AF6*Assumptions!B38</f>
        <v/>
      </c>
      <c r="AG30" s="156">
        <f>'Add-On 6'!AG6*Assumptions!B38</f>
        <v/>
      </c>
      <c r="AH30" s="156">
        <f>'Add-On 6'!AH6*Assumptions!B38</f>
        <v/>
      </c>
      <c r="AI30" s="156">
        <f>'Add-On 6'!AI6*Assumptions!B38</f>
        <v/>
      </c>
      <c r="AJ30" s="156">
        <f>'Add-On 6'!AJ6*Assumptions!B38</f>
        <v/>
      </c>
      <c r="AK30" s="156">
        <f>'Add-On 6'!AK6*Assumptions!B38</f>
        <v/>
      </c>
      <c r="AL30" s="156">
        <f>'Add-On 6'!AL6*Assumptions!B38</f>
        <v/>
      </c>
      <c r="AM30" s="156">
        <f>'Add-On 6'!AM6*Assumptions!B38</f>
        <v/>
      </c>
      <c r="AN30" s="156">
        <f>'Add-On 6'!AN6*Assumptions!B38</f>
        <v/>
      </c>
      <c r="AO30" s="156">
        <f>'Add-On 6'!AO6*Assumptions!B38</f>
        <v/>
      </c>
      <c r="AP30" s="156">
        <f>'Add-On 6'!AP6*Assumptions!B38</f>
        <v/>
      </c>
      <c r="AQ30" s="156">
        <f>'Add-On 6'!AQ6*Assumptions!B38</f>
        <v/>
      </c>
      <c r="AR30" s="156">
        <f>'Add-On 6'!AR6*Assumptions!B38</f>
        <v/>
      </c>
      <c r="AS30" s="156">
        <f>'Add-On 6'!AS6*Assumptions!B38</f>
        <v/>
      </c>
      <c r="AT30" s="156">
        <f>'Add-On 6'!AT6*Assumptions!B38</f>
        <v/>
      </c>
      <c r="AU30" s="156">
        <f>'Add-On 6'!AU6*Assumptions!B38</f>
        <v/>
      </c>
      <c r="AV30" s="156">
        <f>'Add-On 6'!AV6*Assumptions!B38</f>
        <v/>
      </c>
      <c r="AW30" s="156">
        <f>'Add-On 6'!AW6*Assumptions!B38</f>
        <v/>
      </c>
      <c r="AX30" s="156">
        <f>'Add-On 6'!AX6*Assumptions!B38</f>
        <v/>
      </c>
      <c r="AY30" s="156">
        <f>'Add-On 6'!AY6*Assumptions!B38</f>
        <v/>
      </c>
      <c r="AZ30" s="156">
        <f>'Add-On 6'!AZ6*Assumptions!B38</f>
        <v/>
      </c>
      <c r="BA30" s="156">
        <f>'Add-On 6'!BA6*Assumptions!B38</f>
        <v/>
      </c>
      <c r="BB30" s="156">
        <f>'Add-On 6'!BB6*Assumptions!B38</f>
        <v/>
      </c>
      <c r="BC30" s="156">
        <f>'Add-On 6'!BC6*Assumptions!B38</f>
        <v/>
      </c>
      <c r="BD30" s="156">
        <f>'Add-On 6'!BD6*Assumptions!B38</f>
        <v/>
      </c>
      <c r="BE30" s="156">
        <f>'Add-On 6'!BE6*Assumptions!B38</f>
        <v/>
      </c>
      <c r="BF30" s="156">
        <f>'Add-On 6'!BF6*Assumptions!B38</f>
        <v/>
      </c>
      <c r="BG30" s="156">
        <f>'Add-On 6'!BG6*Assumptions!B38</f>
        <v/>
      </c>
      <c r="BH30" s="156">
        <f>'Add-On 6'!BH6*Assumptions!B38</f>
        <v/>
      </c>
      <c r="BI30" s="156">
        <f>'Add-On 6'!BI6*Assumptions!B38</f>
        <v/>
      </c>
      <c r="BJ30" s="156">
        <f>'Add-On 6'!BJ6*Assumptions!B38</f>
        <v/>
      </c>
      <c r="BL30" s="157">
        <f>C30+D30+E30+F30+G30+H30+I30+J30+K30+L30+M30+N30</f>
        <v/>
      </c>
      <c r="BM30" s="157">
        <f>O30+P30+Q30+R30+S30+T30+U30+V30+W30+X30+Y30+Z30</f>
        <v/>
      </c>
      <c r="BN30" s="157">
        <f>AA30+AB30+AC30+AD30+AE30+AF30+AG30+AH30+AI30+AJ30+AK30+AL30</f>
        <v/>
      </c>
      <c r="BO30" s="157">
        <f>AM30+AN30+AO30+AP30+AQ30+AR30+AS30+AT30+AU30+AV30+AW30+AX30</f>
        <v/>
      </c>
      <c r="BP30" s="157">
        <f>AY30+AZ30+BA30+BB30+BC30+BD30+BE30+BF30+BG30+BH30+BI30+BJ30</f>
        <v/>
      </c>
    </row>
    <row r="31" ht="15" customHeight="1" s="104">
      <c r="A31" s="107" t="inlineStr">
        <is>
          <t xml:space="preserve">    Add-On 6 – Goodwill Amort (§197)</t>
        </is>
      </c>
      <c r="C31" s="156">
        <f>IF('Add-On 6'!C4=0,0,Assumptions!C56*Assumptions!D56*Assumptions!E56/(Assumptions!B13*12))</f>
        <v/>
      </c>
      <c r="D31" s="156">
        <f>IF('Add-On 6'!D4=0,0,Assumptions!C56*Assumptions!D56*Assumptions!E56/(Assumptions!B13*12))</f>
        <v/>
      </c>
      <c r="E31" s="156">
        <f>IF('Add-On 6'!E4=0,0,Assumptions!C56*Assumptions!D56*Assumptions!E56/(Assumptions!B13*12))</f>
        <v/>
      </c>
      <c r="F31" s="156">
        <f>IF('Add-On 6'!F4=0,0,Assumptions!C56*Assumptions!D56*Assumptions!E56/(Assumptions!B13*12))</f>
        <v/>
      </c>
      <c r="G31" s="156">
        <f>IF('Add-On 6'!G4=0,0,Assumptions!C56*Assumptions!D56*Assumptions!E56/(Assumptions!B13*12))</f>
        <v/>
      </c>
      <c r="H31" s="156">
        <f>IF('Add-On 6'!H4=0,0,Assumptions!C56*Assumptions!D56*Assumptions!E56/(Assumptions!B13*12))</f>
        <v/>
      </c>
      <c r="I31" s="156">
        <f>IF('Add-On 6'!I4=0,0,Assumptions!C56*Assumptions!D56*Assumptions!E56/(Assumptions!B13*12))</f>
        <v/>
      </c>
      <c r="J31" s="156">
        <f>IF('Add-On 6'!J4=0,0,Assumptions!C56*Assumptions!D56*Assumptions!E56/(Assumptions!B13*12))</f>
        <v/>
      </c>
      <c r="K31" s="156">
        <f>IF('Add-On 6'!K4=0,0,Assumptions!C56*Assumptions!D56*Assumptions!E56/(Assumptions!B13*12))</f>
        <v/>
      </c>
      <c r="L31" s="156">
        <f>IF('Add-On 6'!L4=0,0,Assumptions!C56*Assumptions!D56*Assumptions!E56/(Assumptions!B13*12))</f>
        <v/>
      </c>
      <c r="M31" s="156">
        <f>IF('Add-On 6'!M4=0,0,Assumptions!C56*Assumptions!D56*Assumptions!E56/(Assumptions!B13*12))</f>
        <v/>
      </c>
      <c r="N31" s="156">
        <f>IF('Add-On 6'!N4=0,0,Assumptions!C56*Assumptions!D56*Assumptions!E56/(Assumptions!B13*12))</f>
        <v/>
      </c>
      <c r="O31" s="156">
        <f>IF('Add-On 6'!O4=0,0,Assumptions!C56*Assumptions!D56*Assumptions!E56/(Assumptions!B13*12))</f>
        <v/>
      </c>
      <c r="P31" s="156">
        <f>IF('Add-On 6'!P4=0,0,Assumptions!C56*Assumptions!D56*Assumptions!E56/(Assumptions!B13*12))</f>
        <v/>
      </c>
      <c r="Q31" s="156">
        <f>IF('Add-On 6'!Q4=0,0,Assumptions!C56*Assumptions!D56*Assumptions!E56/(Assumptions!B13*12))</f>
        <v/>
      </c>
      <c r="R31" s="156">
        <f>IF('Add-On 6'!R4=0,0,Assumptions!C56*Assumptions!D56*Assumptions!E56/(Assumptions!B13*12))</f>
        <v/>
      </c>
      <c r="S31" s="156">
        <f>IF('Add-On 6'!S4=0,0,Assumptions!C56*Assumptions!D56*Assumptions!E56/(Assumptions!B13*12))</f>
        <v/>
      </c>
      <c r="T31" s="156">
        <f>IF('Add-On 6'!T4=0,0,Assumptions!C56*Assumptions!D56*Assumptions!E56/(Assumptions!B13*12))</f>
        <v/>
      </c>
      <c r="U31" s="156">
        <f>IF('Add-On 6'!U4=0,0,Assumptions!C56*Assumptions!D56*Assumptions!E56/(Assumptions!B13*12))</f>
        <v/>
      </c>
      <c r="V31" s="156">
        <f>IF('Add-On 6'!V4=0,0,Assumptions!C56*Assumptions!D56*Assumptions!E56/(Assumptions!B13*12))</f>
        <v/>
      </c>
      <c r="W31" s="156">
        <f>IF('Add-On 6'!W4=0,0,Assumptions!C56*Assumptions!D56*Assumptions!E56/(Assumptions!B13*12))</f>
        <v/>
      </c>
      <c r="X31" s="156">
        <f>IF('Add-On 6'!X4=0,0,Assumptions!C56*Assumptions!D56*Assumptions!E56/(Assumptions!B13*12))</f>
        <v/>
      </c>
      <c r="Y31" s="156">
        <f>IF('Add-On 6'!Y4=0,0,Assumptions!C56*Assumptions!D56*Assumptions!E56/(Assumptions!B13*12))</f>
        <v/>
      </c>
      <c r="Z31" s="156">
        <f>IF('Add-On 6'!Z4=0,0,Assumptions!C56*Assumptions!D56*Assumptions!E56/(Assumptions!B13*12))</f>
        <v/>
      </c>
      <c r="AA31" s="156">
        <f>IF('Add-On 6'!AA4=0,0,Assumptions!C56*Assumptions!D56*Assumptions!E56/(Assumptions!B13*12))</f>
        <v/>
      </c>
      <c r="AB31" s="156">
        <f>IF('Add-On 6'!AB4=0,0,Assumptions!C56*Assumptions!D56*Assumptions!E56/(Assumptions!B13*12))</f>
        <v/>
      </c>
      <c r="AC31" s="156">
        <f>IF('Add-On 6'!AC4=0,0,Assumptions!C56*Assumptions!D56*Assumptions!E56/(Assumptions!B13*12))</f>
        <v/>
      </c>
      <c r="AD31" s="156">
        <f>IF('Add-On 6'!AD4=0,0,Assumptions!C56*Assumptions!D56*Assumptions!E56/(Assumptions!B13*12))</f>
        <v/>
      </c>
      <c r="AE31" s="156">
        <f>IF('Add-On 6'!AE4=0,0,Assumptions!C56*Assumptions!D56*Assumptions!E56/(Assumptions!B13*12))</f>
        <v/>
      </c>
      <c r="AF31" s="156">
        <f>IF('Add-On 6'!AF4=0,0,Assumptions!C56*Assumptions!D56*Assumptions!E56/(Assumptions!B13*12))</f>
        <v/>
      </c>
      <c r="AG31" s="156">
        <f>IF('Add-On 6'!AG4=0,0,Assumptions!C56*Assumptions!D56*Assumptions!E56/(Assumptions!B13*12))</f>
        <v/>
      </c>
      <c r="AH31" s="156">
        <f>IF('Add-On 6'!AH4=0,0,Assumptions!C56*Assumptions!D56*Assumptions!E56/(Assumptions!B13*12))</f>
        <v/>
      </c>
      <c r="AI31" s="156">
        <f>IF('Add-On 6'!AI4=0,0,Assumptions!C56*Assumptions!D56*Assumptions!E56/(Assumptions!B13*12))</f>
        <v/>
      </c>
      <c r="AJ31" s="156">
        <f>IF('Add-On 6'!AJ4=0,0,Assumptions!C56*Assumptions!D56*Assumptions!E56/(Assumptions!B13*12))</f>
        <v/>
      </c>
      <c r="AK31" s="156">
        <f>IF('Add-On 6'!AK4=0,0,Assumptions!C56*Assumptions!D56*Assumptions!E56/(Assumptions!B13*12))</f>
        <v/>
      </c>
      <c r="AL31" s="156">
        <f>IF('Add-On 6'!AL4=0,0,Assumptions!C56*Assumptions!D56*Assumptions!E56/(Assumptions!B13*12))</f>
        <v/>
      </c>
      <c r="AM31" s="156">
        <f>IF('Add-On 6'!AM4=0,0,Assumptions!C56*Assumptions!D56*Assumptions!E56/(Assumptions!B13*12))</f>
        <v/>
      </c>
      <c r="AN31" s="156">
        <f>IF('Add-On 6'!AN4=0,0,Assumptions!C56*Assumptions!D56*Assumptions!E56/(Assumptions!B13*12))</f>
        <v/>
      </c>
      <c r="AO31" s="156">
        <f>IF('Add-On 6'!AO4=0,0,Assumptions!C56*Assumptions!D56*Assumptions!E56/(Assumptions!B13*12))</f>
        <v/>
      </c>
      <c r="AP31" s="156">
        <f>IF('Add-On 6'!AP4=0,0,Assumptions!C56*Assumptions!D56*Assumptions!E56/(Assumptions!B13*12))</f>
        <v/>
      </c>
      <c r="AQ31" s="156">
        <f>IF('Add-On 6'!AQ4=0,0,Assumptions!C56*Assumptions!D56*Assumptions!E56/(Assumptions!B13*12))</f>
        <v/>
      </c>
      <c r="AR31" s="156">
        <f>IF('Add-On 6'!AR4=0,0,Assumptions!C56*Assumptions!D56*Assumptions!E56/(Assumptions!B13*12))</f>
        <v/>
      </c>
      <c r="AS31" s="156">
        <f>IF('Add-On 6'!AS4=0,0,Assumptions!C56*Assumptions!D56*Assumptions!E56/(Assumptions!B13*12))</f>
        <v/>
      </c>
      <c r="AT31" s="156">
        <f>IF('Add-On 6'!AT4=0,0,Assumptions!C56*Assumptions!D56*Assumptions!E56/(Assumptions!B13*12))</f>
        <v/>
      </c>
      <c r="AU31" s="156">
        <f>IF('Add-On 6'!AU4=0,0,Assumptions!C56*Assumptions!D56*Assumptions!E56/(Assumptions!B13*12))</f>
        <v/>
      </c>
      <c r="AV31" s="156">
        <f>IF('Add-On 6'!AV4=0,0,Assumptions!C56*Assumptions!D56*Assumptions!E56/(Assumptions!B13*12))</f>
        <v/>
      </c>
      <c r="AW31" s="156">
        <f>IF('Add-On 6'!AW4=0,0,Assumptions!C56*Assumptions!D56*Assumptions!E56/(Assumptions!B13*12))</f>
        <v/>
      </c>
      <c r="AX31" s="156">
        <f>IF('Add-On 6'!AX4=0,0,Assumptions!C56*Assumptions!D56*Assumptions!E56/(Assumptions!B13*12))</f>
        <v/>
      </c>
      <c r="AY31" s="156">
        <f>IF('Add-On 6'!AY4=0,0,Assumptions!C56*Assumptions!D56*Assumptions!E56/(Assumptions!B13*12))</f>
        <v/>
      </c>
      <c r="AZ31" s="156">
        <f>IF('Add-On 6'!AZ4=0,0,Assumptions!C56*Assumptions!D56*Assumptions!E56/(Assumptions!B13*12))</f>
        <v/>
      </c>
      <c r="BA31" s="156">
        <f>IF('Add-On 6'!BA4=0,0,Assumptions!C56*Assumptions!D56*Assumptions!E56/(Assumptions!B13*12))</f>
        <v/>
      </c>
      <c r="BB31" s="156">
        <f>IF('Add-On 6'!BB4=0,0,Assumptions!C56*Assumptions!D56*Assumptions!E56/(Assumptions!B13*12))</f>
        <v/>
      </c>
      <c r="BC31" s="156">
        <f>IF('Add-On 6'!BC4=0,0,Assumptions!C56*Assumptions!D56*Assumptions!E56/(Assumptions!B13*12))</f>
        <v/>
      </c>
      <c r="BD31" s="156">
        <f>IF('Add-On 6'!BD4=0,0,Assumptions!C56*Assumptions!D56*Assumptions!E56/(Assumptions!B13*12))</f>
        <v/>
      </c>
      <c r="BE31" s="156">
        <f>IF('Add-On 6'!BE4=0,0,Assumptions!C56*Assumptions!D56*Assumptions!E56/(Assumptions!B13*12))</f>
        <v/>
      </c>
      <c r="BF31" s="156">
        <f>IF('Add-On 6'!BF4=0,0,Assumptions!C56*Assumptions!D56*Assumptions!E56/(Assumptions!B13*12))</f>
        <v/>
      </c>
      <c r="BG31" s="156">
        <f>IF('Add-On 6'!BG4=0,0,Assumptions!C56*Assumptions!D56*Assumptions!E56/(Assumptions!B13*12))</f>
        <v/>
      </c>
      <c r="BH31" s="156">
        <f>IF('Add-On 6'!BH4=0,0,Assumptions!C56*Assumptions!D56*Assumptions!E56/(Assumptions!B13*12))</f>
        <v/>
      </c>
      <c r="BI31" s="156">
        <f>IF('Add-On 6'!BI4=0,0,Assumptions!C56*Assumptions!D56*Assumptions!E56/(Assumptions!B13*12))</f>
        <v/>
      </c>
      <c r="BJ31" s="156">
        <f>IF('Add-On 6'!BJ4=0,0,Assumptions!C56*Assumptions!D56*Assumptions!E56/(Assumptions!B13*12))</f>
        <v/>
      </c>
      <c r="BL31" s="157">
        <f>C31+D31+E31+F31+G31+H31+I31+J31+K31+L31+M31+N31</f>
        <v/>
      </c>
      <c r="BM31" s="157">
        <f>O31+P31+Q31+R31+S31+T31+U31+V31+W31+X31+Y31+Z31</f>
        <v/>
      </c>
      <c r="BN31" s="157">
        <f>AA31+AB31+AC31+AD31+AE31+AF31+AG31+AH31+AI31+AJ31+AK31+AL31</f>
        <v/>
      </c>
      <c r="BO31" s="157">
        <f>AM31+AN31+AO31+AP31+AQ31+AR31+AS31+AT31+AU31+AV31+AW31+AX31</f>
        <v/>
      </c>
      <c r="BP31" s="157">
        <f>AY31+AZ31+BA31+BB31+BC31+BD31+BE31+BF31+BG31+BH31+BI31+BJ31</f>
        <v/>
      </c>
    </row>
    <row r="32" ht="15" customHeight="1" s="104">
      <c r="A32" s="116" t="inlineStr">
        <is>
          <t xml:space="preserve">    Add-On 6 – Total D&amp;A</t>
        </is>
      </c>
      <c r="C32" s="151">
        <f>C30+C31</f>
        <v/>
      </c>
      <c r="D32" s="151">
        <f>D30+D31</f>
        <v/>
      </c>
      <c r="E32" s="151">
        <f>E30+E31</f>
        <v/>
      </c>
      <c r="F32" s="151">
        <f>F30+F31</f>
        <v/>
      </c>
      <c r="G32" s="151">
        <f>G30+G31</f>
        <v/>
      </c>
      <c r="H32" s="151">
        <f>H30+H31</f>
        <v/>
      </c>
      <c r="I32" s="151">
        <f>I30+I31</f>
        <v/>
      </c>
      <c r="J32" s="151">
        <f>J30+J31</f>
        <v/>
      </c>
      <c r="K32" s="151">
        <f>K30+K31</f>
        <v/>
      </c>
      <c r="L32" s="151">
        <f>L30+L31</f>
        <v/>
      </c>
      <c r="M32" s="151">
        <f>M30+M31</f>
        <v/>
      </c>
      <c r="N32" s="151">
        <f>N30+N31</f>
        <v/>
      </c>
      <c r="O32" s="151">
        <f>O30+O31</f>
        <v/>
      </c>
      <c r="P32" s="151">
        <f>P30+P31</f>
        <v/>
      </c>
      <c r="Q32" s="151">
        <f>Q30+Q31</f>
        <v/>
      </c>
      <c r="R32" s="151">
        <f>R30+R31</f>
        <v/>
      </c>
      <c r="S32" s="151">
        <f>S30+S31</f>
        <v/>
      </c>
      <c r="T32" s="151">
        <f>T30+T31</f>
        <v/>
      </c>
      <c r="U32" s="151">
        <f>U30+U31</f>
        <v/>
      </c>
      <c r="V32" s="151">
        <f>V30+V31</f>
        <v/>
      </c>
      <c r="W32" s="151">
        <f>W30+W31</f>
        <v/>
      </c>
      <c r="X32" s="151">
        <f>X30+X31</f>
        <v/>
      </c>
      <c r="Y32" s="151">
        <f>Y30+Y31</f>
        <v/>
      </c>
      <c r="Z32" s="151">
        <f>Z30+Z31</f>
        <v/>
      </c>
      <c r="AA32" s="151">
        <f>AA30+AA31</f>
        <v/>
      </c>
      <c r="AB32" s="151">
        <f>AB30+AB31</f>
        <v/>
      </c>
      <c r="AC32" s="151">
        <f>AC30+AC31</f>
        <v/>
      </c>
      <c r="AD32" s="151">
        <f>AD30+AD31</f>
        <v/>
      </c>
      <c r="AE32" s="151">
        <f>AE30+AE31</f>
        <v/>
      </c>
      <c r="AF32" s="151">
        <f>AF30+AF31</f>
        <v/>
      </c>
      <c r="AG32" s="151">
        <f>AG30+AG31</f>
        <v/>
      </c>
      <c r="AH32" s="151">
        <f>AH30+AH31</f>
        <v/>
      </c>
      <c r="AI32" s="151">
        <f>AI30+AI31</f>
        <v/>
      </c>
      <c r="AJ32" s="151">
        <f>AJ30+AJ31</f>
        <v/>
      </c>
      <c r="AK32" s="151">
        <f>AK30+AK31</f>
        <v/>
      </c>
      <c r="AL32" s="151">
        <f>AL30+AL31</f>
        <v/>
      </c>
      <c r="AM32" s="151">
        <f>AM30+AM31</f>
        <v/>
      </c>
      <c r="AN32" s="151">
        <f>AN30+AN31</f>
        <v/>
      </c>
      <c r="AO32" s="151">
        <f>AO30+AO31</f>
        <v/>
      </c>
      <c r="AP32" s="151">
        <f>AP30+AP31</f>
        <v/>
      </c>
      <c r="AQ32" s="151">
        <f>AQ30+AQ31</f>
        <v/>
      </c>
      <c r="AR32" s="151">
        <f>AR30+AR31</f>
        <v/>
      </c>
      <c r="AS32" s="151">
        <f>AS30+AS31</f>
        <v/>
      </c>
      <c r="AT32" s="151">
        <f>AT30+AT31</f>
        <v/>
      </c>
      <c r="AU32" s="151">
        <f>AU30+AU31</f>
        <v/>
      </c>
      <c r="AV32" s="151">
        <f>AV30+AV31</f>
        <v/>
      </c>
      <c r="AW32" s="151">
        <f>AW30+AW31</f>
        <v/>
      </c>
      <c r="AX32" s="151">
        <f>AX30+AX31</f>
        <v/>
      </c>
      <c r="AY32" s="151">
        <f>AY30+AY31</f>
        <v/>
      </c>
      <c r="AZ32" s="151">
        <f>AZ30+AZ31</f>
        <v/>
      </c>
      <c r="BA32" s="151">
        <f>BA30+BA31</f>
        <v/>
      </c>
      <c r="BB32" s="151">
        <f>BB30+BB31</f>
        <v/>
      </c>
      <c r="BC32" s="151">
        <f>BC30+BC31</f>
        <v/>
      </c>
      <c r="BD32" s="151">
        <f>BD30+BD31</f>
        <v/>
      </c>
      <c r="BE32" s="151">
        <f>BE30+BE31</f>
        <v/>
      </c>
      <c r="BF32" s="151">
        <f>BF30+BF31</f>
        <v/>
      </c>
      <c r="BG32" s="151">
        <f>BG30+BG31</f>
        <v/>
      </c>
      <c r="BH32" s="151">
        <f>BH30+BH31</f>
        <v/>
      </c>
      <c r="BI32" s="151">
        <f>BI30+BI31</f>
        <v/>
      </c>
      <c r="BJ32" s="151">
        <f>BJ30+BJ31</f>
        <v/>
      </c>
      <c r="BL32" s="152">
        <f>C32+D32+E32+F32+G32+H32+I32+J32+K32+L32+M32+N32</f>
        <v/>
      </c>
      <c r="BM32" s="152">
        <f>O32+P32+Q32+R32+S32+T32+U32+V32+W32+X32+Y32+Z32</f>
        <v/>
      </c>
      <c r="BN32" s="152">
        <f>AA32+AB32+AC32+AD32+AE32+AF32+AG32+AH32+AI32+AJ32+AK32+AL32</f>
        <v/>
      </c>
      <c r="BO32" s="152">
        <f>AM32+AN32+AO32+AP32+AQ32+AR32+AS32+AT32+AU32+AV32+AW32+AX32</f>
        <v/>
      </c>
      <c r="BP32" s="152">
        <f>AY32+AZ32+BA32+BB32+BC32+BD32+BE32+BF32+BG32+BH32+BI32+BJ32</f>
        <v/>
      </c>
    </row>
    <row r="33" ht="15" customHeight="1" s="104">
      <c r="A33" s="106" t="inlineStr">
        <is>
          <t>ADD-ON 7</t>
        </is>
      </c>
    </row>
    <row r="34" ht="15" customHeight="1" s="104">
      <c r="A34" s="107" t="inlineStr">
        <is>
          <t xml:space="preserve">    Add-On 7 – PP&amp;E D&amp;A</t>
        </is>
      </c>
      <c r="C34" s="156">
        <f>'Add-On 7'!C6*Assumptions!B38</f>
        <v/>
      </c>
      <c r="D34" s="156">
        <f>'Add-On 7'!D6*Assumptions!B38</f>
        <v/>
      </c>
      <c r="E34" s="156">
        <f>'Add-On 7'!E6*Assumptions!B38</f>
        <v/>
      </c>
      <c r="F34" s="156">
        <f>'Add-On 7'!F6*Assumptions!B38</f>
        <v/>
      </c>
      <c r="G34" s="156">
        <f>'Add-On 7'!G6*Assumptions!B38</f>
        <v/>
      </c>
      <c r="H34" s="156">
        <f>'Add-On 7'!H6*Assumptions!B38</f>
        <v/>
      </c>
      <c r="I34" s="156">
        <f>'Add-On 7'!I6*Assumptions!B38</f>
        <v/>
      </c>
      <c r="J34" s="156">
        <f>'Add-On 7'!J6*Assumptions!B38</f>
        <v/>
      </c>
      <c r="K34" s="156">
        <f>'Add-On 7'!K6*Assumptions!B38</f>
        <v/>
      </c>
      <c r="L34" s="156">
        <f>'Add-On 7'!L6*Assumptions!B38</f>
        <v/>
      </c>
      <c r="M34" s="156">
        <f>'Add-On 7'!M6*Assumptions!B38</f>
        <v/>
      </c>
      <c r="N34" s="156">
        <f>'Add-On 7'!N6*Assumptions!B38</f>
        <v/>
      </c>
      <c r="O34" s="156">
        <f>'Add-On 7'!O6*Assumptions!B38</f>
        <v/>
      </c>
      <c r="P34" s="156">
        <f>'Add-On 7'!P6*Assumptions!B38</f>
        <v/>
      </c>
      <c r="Q34" s="156">
        <f>'Add-On 7'!Q6*Assumptions!B38</f>
        <v/>
      </c>
      <c r="R34" s="156">
        <f>'Add-On 7'!R6*Assumptions!B38</f>
        <v/>
      </c>
      <c r="S34" s="156">
        <f>'Add-On 7'!S6*Assumptions!B38</f>
        <v/>
      </c>
      <c r="T34" s="156">
        <f>'Add-On 7'!T6*Assumptions!B38</f>
        <v/>
      </c>
      <c r="U34" s="156">
        <f>'Add-On 7'!U6*Assumptions!B38</f>
        <v/>
      </c>
      <c r="V34" s="156">
        <f>'Add-On 7'!V6*Assumptions!B38</f>
        <v/>
      </c>
      <c r="W34" s="156">
        <f>'Add-On 7'!W6*Assumptions!B38</f>
        <v/>
      </c>
      <c r="X34" s="156">
        <f>'Add-On 7'!X6*Assumptions!B38</f>
        <v/>
      </c>
      <c r="Y34" s="156">
        <f>'Add-On 7'!Y6*Assumptions!B38</f>
        <v/>
      </c>
      <c r="Z34" s="156">
        <f>'Add-On 7'!Z6*Assumptions!B38</f>
        <v/>
      </c>
      <c r="AA34" s="156">
        <f>'Add-On 7'!AA6*Assumptions!B38</f>
        <v/>
      </c>
      <c r="AB34" s="156">
        <f>'Add-On 7'!AB6*Assumptions!B38</f>
        <v/>
      </c>
      <c r="AC34" s="156">
        <f>'Add-On 7'!AC6*Assumptions!B38</f>
        <v/>
      </c>
      <c r="AD34" s="156">
        <f>'Add-On 7'!AD6*Assumptions!B38</f>
        <v/>
      </c>
      <c r="AE34" s="156">
        <f>'Add-On 7'!AE6*Assumptions!B38</f>
        <v/>
      </c>
      <c r="AF34" s="156">
        <f>'Add-On 7'!AF6*Assumptions!B38</f>
        <v/>
      </c>
      <c r="AG34" s="156">
        <f>'Add-On 7'!AG6*Assumptions!B38</f>
        <v/>
      </c>
      <c r="AH34" s="156">
        <f>'Add-On 7'!AH6*Assumptions!B38</f>
        <v/>
      </c>
      <c r="AI34" s="156">
        <f>'Add-On 7'!AI6*Assumptions!B38</f>
        <v/>
      </c>
      <c r="AJ34" s="156">
        <f>'Add-On 7'!AJ6*Assumptions!B38</f>
        <v/>
      </c>
      <c r="AK34" s="156">
        <f>'Add-On 7'!AK6*Assumptions!B38</f>
        <v/>
      </c>
      <c r="AL34" s="156">
        <f>'Add-On 7'!AL6*Assumptions!B38</f>
        <v/>
      </c>
      <c r="AM34" s="156">
        <f>'Add-On 7'!AM6*Assumptions!B38</f>
        <v/>
      </c>
      <c r="AN34" s="156">
        <f>'Add-On 7'!AN6*Assumptions!B38</f>
        <v/>
      </c>
      <c r="AO34" s="156">
        <f>'Add-On 7'!AO6*Assumptions!B38</f>
        <v/>
      </c>
      <c r="AP34" s="156">
        <f>'Add-On 7'!AP6*Assumptions!B38</f>
        <v/>
      </c>
      <c r="AQ34" s="156">
        <f>'Add-On 7'!AQ6*Assumptions!B38</f>
        <v/>
      </c>
      <c r="AR34" s="156">
        <f>'Add-On 7'!AR6*Assumptions!B38</f>
        <v/>
      </c>
      <c r="AS34" s="156">
        <f>'Add-On 7'!AS6*Assumptions!B38</f>
        <v/>
      </c>
      <c r="AT34" s="156">
        <f>'Add-On 7'!AT6*Assumptions!B38</f>
        <v/>
      </c>
      <c r="AU34" s="156">
        <f>'Add-On 7'!AU6*Assumptions!B38</f>
        <v/>
      </c>
      <c r="AV34" s="156">
        <f>'Add-On 7'!AV6*Assumptions!B38</f>
        <v/>
      </c>
      <c r="AW34" s="156">
        <f>'Add-On 7'!AW6*Assumptions!B38</f>
        <v/>
      </c>
      <c r="AX34" s="156">
        <f>'Add-On 7'!AX6*Assumptions!B38</f>
        <v/>
      </c>
      <c r="AY34" s="156">
        <f>'Add-On 7'!AY6*Assumptions!B38</f>
        <v/>
      </c>
      <c r="AZ34" s="156">
        <f>'Add-On 7'!AZ6*Assumptions!B38</f>
        <v/>
      </c>
      <c r="BA34" s="156">
        <f>'Add-On 7'!BA6*Assumptions!B38</f>
        <v/>
      </c>
      <c r="BB34" s="156">
        <f>'Add-On 7'!BB6*Assumptions!B38</f>
        <v/>
      </c>
      <c r="BC34" s="156">
        <f>'Add-On 7'!BC6*Assumptions!B38</f>
        <v/>
      </c>
      <c r="BD34" s="156">
        <f>'Add-On 7'!BD6*Assumptions!B38</f>
        <v/>
      </c>
      <c r="BE34" s="156">
        <f>'Add-On 7'!BE6*Assumptions!B38</f>
        <v/>
      </c>
      <c r="BF34" s="156">
        <f>'Add-On 7'!BF6*Assumptions!B38</f>
        <v/>
      </c>
      <c r="BG34" s="156">
        <f>'Add-On 7'!BG6*Assumptions!B38</f>
        <v/>
      </c>
      <c r="BH34" s="156">
        <f>'Add-On 7'!BH6*Assumptions!B38</f>
        <v/>
      </c>
      <c r="BI34" s="156">
        <f>'Add-On 7'!BI6*Assumptions!B38</f>
        <v/>
      </c>
      <c r="BJ34" s="156">
        <f>'Add-On 7'!BJ6*Assumptions!B38</f>
        <v/>
      </c>
      <c r="BL34" s="157">
        <f>C34+D34+E34+F34+G34+H34+I34+J34+K34+L34+M34+N34</f>
        <v/>
      </c>
      <c r="BM34" s="157">
        <f>O34+P34+Q34+R34+S34+T34+U34+V34+W34+X34+Y34+Z34</f>
        <v/>
      </c>
      <c r="BN34" s="157">
        <f>AA34+AB34+AC34+AD34+AE34+AF34+AG34+AH34+AI34+AJ34+AK34+AL34</f>
        <v/>
      </c>
      <c r="BO34" s="157">
        <f>AM34+AN34+AO34+AP34+AQ34+AR34+AS34+AT34+AU34+AV34+AW34+AX34</f>
        <v/>
      </c>
      <c r="BP34" s="157">
        <f>AY34+AZ34+BA34+BB34+BC34+BD34+BE34+BF34+BG34+BH34+BI34+BJ34</f>
        <v/>
      </c>
    </row>
    <row r="35" ht="15" customHeight="1" s="104">
      <c r="A35" s="107" t="inlineStr">
        <is>
          <t xml:space="preserve">    Add-On 7 – Goodwill Amort (§197)</t>
        </is>
      </c>
      <c r="C35" s="156">
        <f>IF('Add-On 7'!C4=0,0,Assumptions!C57*Assumptions!D57*Assumptions!E57/(Assumptions!B13*12))</f>
        <v/>
      </c>
      <c r="D35" s="156">
        <f>IF('Add-On 7'!D4=0,0,Assumptions!C57*Assumptions!D57*Assumptions!E57/(Assumptions!B13*12))</f>
        <v/>
      </c>
      <c r="E35" s="156">
        <f>IF('Add-On 7'!E4=0,0,Assumptions!C57*Assumptions!D57*Assumptions!E57/(Assumptions!B13*12))</f>
        <v/>
      </c>
      <c r="F35" s="156">
        <f>IF('Add-On 7'!F4=0,0,Assumptions!C57*Assumptions!D57*Assumptions!E57/(Assumptions!B13*12))</f>
        <v/>
      </c>
      <c r="G35" s="156">
        <f>IF('Add-On 7'!G4=0,0,Assumptions!C57*Assumptions!D57*Assumptions!E57/(Assumptions!B13*12))</f>
        <v/>
      </c>
      <c r="H35" s="156">
        <f>IF('Add-On 7'!H4=0,0,Assumptions!C57*Assumptions!D57*Assumptions!E57/(Assumptions!B13*12))</f>
        <v/>
      </c>
      <c r="I35" s="156">
        <f>IF('Add-On 7'!I4=0,0,Assumptions!C57*Assumptions!D57*Assumptions!E57/(Assumptions!B13*12))</f>
        <v/>
      </c>
      <c r="J35" s="156">
        <f>IF('Add-On 7'!J4=0,0,Assumptions!C57*Assumptions!D57*Assumptions!E57/(Assumptions!B13*12))</f>
        <v/>
      </c>
      <c r="K35" s="156">
        <f>IF('Add-On 7'!K4=0,0,Assumptions!C57*Assumptions!D57*Assumptions!E57/(Assumptions!B13*12))</f>
        <v/>
      </c>
      <c r="L35" s="156">
        <f>IF('Add-On 7'!L4=0,0,Assumptions!C57*Assumptions!D57*Assumptions!E57/(Assumptions!B13*12))</f>
        <v/>
      </c>
      <c r="M35" s="156">
        <f>IF('Add-On 7'!M4=0,0,Assumptions!C57*Assumptions!D57*Assumptions!E57/(Assumptions!B13*12))</f>
        <v/>
      </c>
      <c r="N35" s="156">
        <f>IF('Add-On 7'!N4=0,0,Assumptions!C57*Assumptions!D57*Assumptions!E57/(Assumptions!B13*12))</f>
        <v/>
      </c>
      <c r="O35" s="156">
        <f>IF('Add-On 7'!O4=0,0,Assumptions!C57*Assumptions!D57*Assumptions!E57/(Assumptions!B13*12))</f>
        <v/>
      </c>
      <c r="P35" s="156">
        <f>IF('Add-On 7'!P4=0,0,Assumptions!C57*Assumptions!D57*Assumptions!E57/(Assumptions!B13*12))</f>
        <v/>
      </c>
      <c r="Q35" s="156">
        <f>IF('Add-On 7'!Q4=0,0,Assumptions!C57*Assumptions!D57*Assumptions!E57/(Assumptions!B13*12))</f>
        <v/>
      </c>
      <c r="R35" s="156">
        <f>IF('Add-On 7'!R4=0,0,Assumptions!C57*Assumptions!D57*Assumptions!E57/(Assumptions!B13*12))</f>
        <v/>
      </c>
      <c r="S35" s="156">
        <f>IF('Add-On 7'!S4=0,0,Assumptions!C57*Assumptions!D57*Assumptions!E57/(Assumptions!B13*12))</f>
        <v/>
      </c>
      <c r="T35" s="156">
        <f>IF('Add-On 7'!T4=0,0,Assumptions!C57*Assumptions!D57*Assumptions!E57/(Assumptions!B13*12))</f>
        <v/>
      </c>
      <c r="U35" s="156">
        <f>IF('Add-On 7'!U4=0,0,Assumptions!C57*Assumptions!D57*Assumptions!E57/(Assumptions!B13*12))</f>
        <v/>
      </c>
      <c r="V35" s="156">
        <f>IF('Add-On 7'!V4=0,0,Assumptions!C57*Assumptions!D57*Assumptions!E57/(Assumptions!B13*12))</f>
        <v/>
      </c>
      <c r="W35" s="156">
        <f>IF('Add-On 7'!W4=0,0,Assumptions!C57*Assumptions!D57*Assumptions!E57/(Assumptions!B13*12))</f>
        <v/>
      </c>
      <c r="X35" s="156">
        <f>IF('Add-On 7'!X4=0,0,Assumptions!C57*Assumptions!D57*Assumptions!E57/(Assumptions!B13*12))</f>
        <v/>
      </c>
      <c r="Y35" s="156">
        <f>IF('Add-On 7'!Y4=0,0,Assumptions!C57*Assumptions!D57*Assumptions!E57/(Assumptions!B13*12))</f>
        <v/>
      </c>
      <c r="Z35" s="156">
        <f>IF('Add-On 7'!Z4=0,0,Assumptions!C57*Assumptions!D57*Assumptions!E57/(Assumptions!B13*12))</f>
        <v/>
      </c>
      <c r="AA35" s="156">
        <f>IF('Add-On 7'!AA4=0,0,Assumptions!C57*Assumptions!D57*Assumptions!E57/(Assumptions!B13*12))</f>
        <v/>
      </c>
      <c r="AB35" s="156">
        <f>IF('Add-On 7'!AB4=0,0,Assumptions!C57*Assumptions!D57*Assumptions!E57/(Assumptions!B13*12))</f>
        <v/>
      </c>
      <c r="AC35" s="156">
        <f>IF('Add-On 7'!AC4=0,0,Assumptions!C57*Assumptions!D57*Assumptions!E57/(Assumptions!B13*12))</f>
        <v/>
      </c>
      <c r="AD35" s="156">
        <f>IF('Add-On 7'!AD4=0,0,Assumptions!C57*Assumptions!D57*Assumptions!E57/(Assumptions!B13*12))</f>
        <v/>
      </c>
      <c r="AE35" s="156">
        <f>IF('Add-On 7'!AE4=0,0,Assumptions!C57*Assumptions!D57*Assumptions!E57/(Assumptions!B13*12))</f>
        <v/>
      </c>
      <c r="AF35" s="156">
        <f>IF('Add-On 7'!AF4=0,0,Assumptions!C57*Assumptions!D57*Assumptions!E57/(Assumptions!B13*12))</f>
        <v/>
      </c>
      <c r="AG35" s="156">
        <f>IF('Add-On 7'!AG4=0,0,Assumptions!C57*Assumptions!D57*Assumptions!E57/(Assumptions!B13*12))</f>
        <v/>
      </c>
      <c r="AH35" s="156">
        <f>IF('Add-On 7'!AH4=0,0,Assumptions!C57*Assumptions!D57*Assumptions!E57/(Assumptions!B13*12))</f>
        <v/>
      </c>
      <c r="AI35" s="156">
        <f>IF('Add-On 7'!AI4=0,0,Assumptions!C57*Assumptions!D57*Assumptions!E57/(Assumptions!B13*12))</f>
        <v/>
      </c>
      <c r="AJ35" s="156">
        <f>IF('Add-On 7'!AJ4=0,0,Assumptions!C57*Assumptions!D57*Assumptions!E57/(Assumptions!B13*12))</f>
        <v/>
      </c>
      <c r="AK35" s="156">
        <f>IF('Add-On 7'!AK4=0,0,Assumptions!C57*Assumptions!D57*Assumptions!E57/(Assumptions!B13*12))</f>
        <v/>
      </c>
      <c r="AL35" s="156">
        <f>IF('Add-On 7'!AL4=0,0,Assumptions!C57*Assumptions!D57*Assumptions!E57/(Assumptions!B13*12))</f>
        <v/>
      </c>
      <c r="AM35" s="156">
        <f>IF('Add-On 7'!AM4=0,0,Assumptions!C57*Assumptions!D57*Assumptions!E57/(Assumptions!B13*12))</f>
        <v/>
      </c>
      <c r="AN35" s="156">
        <f>IF('Add-On 7'!AN4=0,0,Assumptions!C57*Assumptions!D57*Assumptions!E57/(Assumptions!B13*12))</f>
        <v/>
      </c>
      <c r="AO35" s="156">
        <f>IF('Add-On 7'!AO4=0,0,Assumptions!C57*Assumptions!D57*Assumptions!E57/(Assumptions!B13*12))</f>
        <v/>
      </c>
      <c r="AP35" s="156">
        <f>IF('Add-On 7'!AP4=0,0,Assumptions!C57*Assumptions!D57*Assumptions!E57/(Assumptions!B13*12))</f>
        <v/>
      </c>
      <c r="AQ35" s="156">
        <f>IF('Add-On 7'!AQ4=0,0,Assumptions!C57*Assumptions!D57*Assumptions!E57/(Assumptions!B13*12))</f>
        <v/>
      </c>
      <c r="AR35" s="156">
        <f>IF('Add-On 7'!AR4=0,0,Assumptions!C57*Assumptions!D57*Assumptions!E57/(Assumptions!B13*12))</f>
        <v/>
      </c>
      <c r="AS35" s="156">
        <f>IF('Add-On 7'!AS4=0,0,Assumptions!C57*Assumptions!D57*Assumptions!E57/(Assumptions!B13*12))</f>
        <v/>
      </c>
      <c r="AT35" s="156">
        <f>IF('Add-On 7'!AT4=0,0,Assumptions!C57*Assumptions!D57*Assumptions!E57/(Assumptions!B13*12))</f>
        <v/>
      </c>
      <c r="AU35" s="156">
        <f>IF('Add-On 7'!AU4=0,0,Assumptions!C57*Assumptions!D57*Assumptions!E57/(Assumptions!B13*12))</f>
        <v/>
      </c>
      <c r="AV35" s="156">
        <f>IF('Add-On 7'!AV4=0,0,Assumptions!C57*Assumptions!D57*Assumptions!E57/(Assumptions!B13*12))</f>
        <v/>
      </c>
      <c r="AW35" s="156">
        <f>IF('Add-On 7'!AW4=0,0,Assumptions!C57*Assumptions!D57*Assumptions!E57/(Assumptions!B13*12))</f>
        <v/>
      </c>
      <c r="AX35" s="156">
        <f>IF('Add-On 7'!AX4=0,0,Assumptions!C57*Assumptions!D57*Assumptions!E57/(Assumptions!B13*12))</f>
        <v/>
      </c>
      <c r="AY35" s="156">
        <f>IF('Add-On 7'!AY4=0,0,Assumptions!C57*Assumptions!D57*Assumptions!E57/(Assumptions!B13*12))</f>
        <v/>
      </c>
      <c r="AZ35" s="156">
        <f>IF('Add-On 7'!AZ4=0,0,Assumptions!C57*Assumptions!D57*Assumptions!E57/(Assumptions!B13*12))</f>
        <v/>
      </c>
      <c r="BA35" s="156">
        <f>IF('Add-On 7'!BA4=0,0,Assumptions!C57*Assumptions!D57*Assumptions!E57/(Assumptions!B13*12))</f>
        <v/>
      </c>
      <c r="BB35" s="156">
        <f>IF('Add-On 7'!BB4=0,0,Assumptions!C57*Assumptions!D57*Assumptions!E57/(Assumptions!B13*12))</f>
        <v/>
      </c>
      <c r="BC35" s="156">
        <f>IF('Add-On 7'!BC4=0,0,Assumptions!C57*Assumptions!D57*Assumptions!E57/(Assumptions!B13*12))</f>
        <v/>
      </c>
      <c r="BD35" s="156">
        <f>IF('Add-On 7'!BD4=0,0,Assumptions!C57*Assumptions!D57*Assumptions!E57/(Assumptions!B13*12))</f>
        <v/>
      </c>
      <c r="BE35" s="156">
        <f>IF('Add-On 7'!BE4=0,0,Assumptions!C57*Assumptions!D57*Assumptions!E57/(Assumptions!B13*12))</f>
        <v/>
      </c>
      <c r="BF35" s="156">
        <f>IF('Add-On 7'!BF4=0,0,Assumptions!C57*Assumptions!D57*Assumptions!E57/(Assumptions!B13*12))</f>
        <v/>
      </c>
      <c r="BG35" s="156">
        <f>IF('Add-On 7'!BG4=0,0,Assumptions!C57*Assumptions!D57*Assumptions!E57/(Assumptions!B13*12))</f>
        <v/>
      </c>
      <c r="BH35" s="156">
        <f>IF('Add-On 7'!BH4=0,0,Assumptions!C57*Assumptions!D57*Assumptions!E57/(Assumptions!B13*12))</f>
        <v/>
      </c>
      <c r="BI35" s="156">
        <f>IF('Add-On 7'!BI4=0,0,Assumptions!C57*Assumptions!D57*Assumptions!E57/(Assumptions!B13*12))</f>
        <v/>
      </c>
      <c r="BJ35" s="156">
        <f>IF('Add-On 7'!BJ4=0,0,Assumptions!C57*Assumptions!D57*Assumptions!E57/(Assumptions!B13*12))</f>
        <v/>
      </c>
      <c r="BL35" s="157">
        <f>C35+D35+E35+F35+G35+H35+I35+J35+K35+L35+M35+N35</f>
        <v/>
      </c>
      <c r="BM35" s="157">
        <f>O35+P35+Q35+R35+S35+T35+U35+V35+W35+X35+Y35+Z35</f>
        <v/>
      </c>
      <c r="BN35" s="157">
        <f>AA35+AB35+AC35+AD35+AE35+AF35+AG35+AH35+AI35+AJ35+AK35+AL35</f>
        <v/>
      </c>
      <c r="BO35" s="157">
        <f>AM35+AN35+AO35+AP35+AQ35+AR35+AS35+AT35+AU35+AV35+AW35+AX35</f>
        <v/>
      </c>
      <c r="BP35" s="157">
        <f>AY35+AZ35+BA35+BB35+BC35+BD35+BE35+BF35+BG35+BH35+BI35+BJ35</f>
        <v/>
      </c>
    </row>
    <row r="36" ht="15" customHeight="1" s="104">
      <c r="A36" s="116" t="inlineStr">
        <is>
          <t xml:space="preserve">    Add-On 7 – Total D&amp;A</t>
        </is>
      </c>
      <c r="C36" s="151">
        <f>C34+C35</f>
        <v/>
      </c>
      <c r="D36" s="151">
        <f>D34+D35</f>
        <v/>
      </c>
      <c r="E36" s="151">
        <f>E34+E35</f>
        <v/>
      </c>
      <c r="F36" s="151">
        <f>F34+F35</f>
        <v/>
      </c>
      <c r="G36" s="151">
        <f>G34+G35</f>
        <v/>
      </c>
      <c r="H36" s="151">
        <f>H34+H35</f>
        <v/>
      </c>
      <c r="I36" s="151">
        <f>I34+I35</f>
        <v/>
      </c>
      <c r="J36" s="151">
        <f>J34+J35</f>
        <v/>
      </c>
      <c r="K36" s="151">
        <f>K34+K35</f>
        <v/>
      </c>
      <c r="L36" s="151">
        <f>L34+L35</f>
        <v/>
      </c>
      <c r="M36" s="151">
        <f>M34+M35</f>
        <v/>
      </c>
      <c r="N36" s="151">
        <f>N34+N35</f>
        <v/>
      </c>
      <c r="O36" s="151">
        <f>O34+O35</f>
        <v/>
      </c>
      <c r="P36" s="151">
        <f>P34+P35</f>
        <v/>
      </c>
      <c r="Q36" s="151">
        <f>Q34+Q35</f>
        <v/>
      </c>
      <c r="R36" s="151">
        <f>R34+R35</f>
        <v/>
      </c>
      <c r="S36" s="151">
        <f>S34+S35</f>
        <v/>
      </c>
      <c r="T36" s="151">
        <f>T34+T35</f>
        <v/>
      </c>
      <c r="U36" s="151">
        <f>U34+U35</f>
        <v/>
      </c>
      <c r="V36" s="151">
        <f>V34+V35</f>
        <v/>
      </c>
      <c r="W36" s="151">
        <f>W34+W35</f>
        <v/>
      </c>
      <c r="X36" s="151">
        <f>X34+X35</f>
        <v/>
      </c>
      <c r="Y36" s="151">
        <f>Y34+Y35</f>
        <v/>
      </c>
      <c r="Z36" s="151">
        <f>Z34+Z35</f>
        <v/>
      </c>
      <c r="AA36" s="151">
        <f>AA34+AA35</f>
        <v/>
      </c>
      <c r="AB36" s="151">
        <f>AB34+AB35</f>
        <v/>
      </c>
      <c r="AC36" s="151">
        <f>AC34+AC35</f>
        <v/>
      </c>
      <c r="AD36" s="151">
        <f>AD34+AD35</f>
        <v/>
      </c>
      <c r="AE36" s="151">
        <f>AE34+AE35</f>
        <v/>
      </c>
      <c r="AF36" s="151">
        <f>AF34+AF35</f>
        <v/>
      </c>
      <c r="AG36" s="151">
        <f>AG34+AG35</f>
        <v/>
      </c>
      <c r="AH36" s="151">
        <f>AH34+AH35</f>
        <v/>
      </c>
      <c r="AI36" s="151">
        <f>AI34+AI35</f>
        <v/>
      </c>
      <c r="AJ36" s="151">
        <f>AJ34+AJ35</f>
        <v/>
      </c>
      <c r="AK36" s="151">
        <f>AK34+AK35</f>
        <v/>
      </c>
      <c r="AL36" s="151">
        <f>AL34+AL35</f>
        <v/>
      </c>
      <c r="AM36" s="151">
        <f>AM34+AM35</f>
        <v/>
      </c>
      <c r="AN36" s="151">
        <f>AN34+AN35</f>
        <v/>
      </c>
      <c r="AO36" s="151">
        <f>AO34+AO35</f>
        <v/>
      </c>
      <c r="AP36" s="151">
        <f>AP34+AP35</f>
        <v/>
      </c>
      <c r="AQ36" s="151">
        <f>AQ34+AQ35</f>
        <v/>
      </c>
      <c r="AR36" s="151">
        <f>AR34+AR35</f>
        <v/>
      </c>
      <c r="AS36" s="151">
        <f>AS34+AS35</f>
        <v/>
      </c>
      <c r="AT36" s="151">
        <f>AT34+AT35</f>
        <v/>
      </c>
      <c r="AU36" s="151">
        <f>AU34+AU35</f>
        <v/>
      </c>
      <c r="AV36" s="151">
        <f>AV34+AV35</f>
        <v/>
      </c>
      <c r="AW36" s="151">
        <f>AW34+AW35</f>
        <v/>
      </c>
      <c r="AX36" s="151">
        <f>AX34+AX35</f>
        <v/>
      </c>
      <c r="AY36" s="151">
        <f>AY34+AY35</f>
        <v/>
      </c>
      <c r="AZ36" s="151">
        <f>AZ34+AZ35</f>
        <v/>
      </c>
      <c r="BA36" s="151">
        <f>BA34+BA35</f>
        <v/>
      </c>
      <c r="BB36" s="151">
        <f>BB34+BB35</f>
        <v/>
      </c>
      <c r="BC36" s="151">
        <f>BC34+BC35</f>
        <v/>
      </c>
      <c r="BD36" s="151">
        <f>BD34+BD35</f>
        <v/>
      </c>
      <c r="BE36" s="151">
        <f>BE34+BE35</f>
        <v/>
      </c>
      <c r="BF36" s="151">
        <f>BF34+BF35</f>
        <v/>
      </c>
      <c r="BG36" s="151">
        <f>BG34+BG35</f>
        <v/>
      </c>
      <c r="BH36" s="151">
        <f>BH34+BH35</f>
        <v/>
      </c>
      <c r="BI36" s="151">
        <f>BI34+BI35</f>
        <v/>
      </c>
      <c r="BJ36" s="151">
        <f>BJ34+BJ35</f>
        <v/>
      </c>
      <c r="BL36" s="152">
        <f>C36+D36+E36+F36+G36+H36+I36+J36+K36+L36+M36+N36</f>
        <v/>
      </c>
      <c r="BM36" s="152">
        <f>O36+P36+Q36+R36+S36+T36+U36+V36+W36+X36+Y36+Z36</f>
        <v/>
      </c>
      <c r="BN36" s="152">
        <f>AA36+AB36+AC36+AD36+AE36+AF36+AG36+AH36+AI36+AJ36+AK36+AL36</f>
        <v/>
      </c>
      <c r="BO36" s="152">
        <f>AM36+AN36+AO36+AP36+AQ36+AR36+AS36+AT36+AU36+AV36+AW36+AX36</f>
        <v/>
      </c>
      <c r="BP36" s="152">
        <f>AY36+AZ36+BA36+BB36+BC36+BD36+BE36+BF36+BG36+BH36+BI36+BJ36</f>
        <v/>
      </c>
    </row>
    <row r="37" ht="15" customHeight="1" s="104">
      <c r="A37" s="106" t="inlineStr">
        <is>
          <t>ADD-ON 8</t>
        </is>
      </c>
    </row>
    <row r="38" ht="15" customHeight="1" s="104">
      <c r="A38" s="107" t="inlineStr">
        <is>
          <t xml:space="preserve">    Add-On 8 – PP&amp;E D&amp;A</t>
        </is>
      </c>
      <c r="C38" s="156">
        <f>'Add-On 8'!C6*Assumptions!B38</f>
        <v/>
      </c>
      <c r="D38" s="156">
        <f>'Add-On 8'!D6*Assumptions!B38</f>
        <v/>
      </c>
      <c r="E38" s="156">
        <f>'Add-On 8'!E6*Assumptions!B38</f>
        <v/>
      </c>
      <c r="F38" s="156">
        <f>'Add-On 8'!F6*Assumptions!B38</f>
        <v/>
      </c>
      <c r="G38" s="156">
        <f>'Add-On 8'!G6*Assumptions!B38</f>
        <v/>
      </c>
      <c r="H38" s="156">
        <f>'Add-On 8'!H6*Assumptions!B38</f>
        <v/>
      </c>
      <c r="I38" s="156">
        <f>'Add-On 8'!I6*Assumptions!B38</f>
        <v/>
      </c>
      <c r="J38" s="156">
        <f>'Add-On 8'!J6*Assumptions!B38</f>
        <v/>
      </c>
      <c r="K38" s="156">
        <f>'Add-On 8'!K6*Assumptions!B38</f>
        <v/>
      </c>
      <c r="L38" s="156">
        <f>'Add-On 8'!L6*Assumptions!B38</f>
        <v/>
      </c>
      <c r="M38" s="156">
        <f>'Add-On 8'!M6*Assumptions!B38</f>
        <v/>
      </c>
      <c r="N38" s="156">
        <f>'Add-On 8'!N6*Assumptions!B38</f>
        <v/>
      </c>
      <c r="O38" s="156">
        <f>'Add-On 8'!O6*Assumptions!B38</f>
        <v/>
      </c>
      <c r="P38" s="156">
        <f>'Add-On 8'!P6*Assumptions!B38</f>
        <v/>
      </c>
      <c r="Q38" s="156">
        <f>'Add-On 8'!Q6*Assumptions!B38</f>
        <v/>
      </c>
      <c r="R38" s="156">
        <f>'Add-On 8'!R6*Assumptions!B38</f>
        <v/>
      </c>
      <c r="S38" s="156">
        <f>'Add-On 8'!S6*Assumptions!B38</f>
        <v/>
      </c>
      <c r="T38" s="156">
        <f>'Add-On 8'!T6*Assumptions!B38</f>
        <v/>
      </c>
      <c r="U38" s="156">
        <f>'Add-On 8'!U6*Assumptions!B38</f>
        <v/>
      </c>
      <c r="V38" s="156">
        <f>'Add-On 8'!V6*Assumptions!B38</f>
        <v/>
      </c>
      <c r="W38" s="156">
        <f>'Add-On 8'!W6*Assumptions!B38</f>
        <v/>
      </c>
      <c r="X38" s="156">
        <f>'Add-On 8'!X6*Assumptions!B38</f>
        <v/>
      </c>
      <c r="Y38" s="156">
        <f>'Add-On 8'!Y6*Assumptions!B38</f>
        <v/>
      </c>
      <c r="Z38" s="156">
        <f>'Add-On 8'!Z6*Assumptions!B38</f>
        <v/>
      </c>
      <c r="AA38" s="156">
        <f>'Add-On 8'!AA6*Assumptions!B38</f>
        <v/>
      </c>
      <c r="AB38" s="156">
        <f>'Add-On 8'!AB6*Assumptions!B38</f>
        <v/>
      </c>
      <c r="AC38" s="156">
        <f>'Add-On 8'!AC6*Assumptions!B38</f>
        <v/>
      </c>
      <c r="AD38" s="156">
        <f>'Add-On 8'!AD6*Assumptions!B38</f>
        <v/>
      </c>
      <c r="AE38" s="156">
        <f>'Add-On 8'!AE6*Assumptions!B38</f>
        <v/>
      </c>
      <c r="AF38" s="156">
        <f>'Add-On 8'!AF6*Assumptions!B38</f>
        <v/>
      </c>
      <c r="AG38" s="156">
        <f>'Add-On 8'!AG6*Assumptions!B38</f>
        <v/>
      </c>
      <c r="AH38" s="156">
        <f>'Add-On 8'!AH6*Assumptions!B38</f>
        <v/>
      </c>
      <c r="AI38" s="156">
        <f>'Add-On 8'!AI6*Assumptions!B38</f>
        <v/>
      </c>
      <c r="AJ38" s="156">
        <f>'Add-On 8'!AJ6*Assumptions!B38</f>
        <v/>
      </c>
      <c r="AK38" s="156">
        <f>'Add-On 8'!AK6*Assumptions!B38</f>
        <v/>
      </c>
      <c r="AL38" s="156">
        <f>'Add-On 8'!AL6*Assumptions!B38</f>
        <v/>
      </c>
      <c r="AM38" s="156">
        <f>'Add-On 8'!AM6*Assumptions!B38</f>
        <v/>
      </c>
      <c r="AN38" s="156">
        <f>'Add-On 8'!AN6*Assumptions!B38</f>
        <v/>
      </c>
      <c r="AO38" s="156">
        <f>'Add-On 8'!AO6*Assumptions!B38</f>
        <v/>
      </c>
      <c r="AP38" s="156">
        <f>'Add-On 8'!AP6*Assumptions!B38</f>
        <v/>
      </c>
      <c r="AQ38" s="156">
        <f>'Add-On 8'!AQ6*Assumptions!B38</f>
        <v/>
      </c>
      <c r="AR38" s="156">
        <f>'Add-On 8'!AR6*Assumptions!B38</f>
        <v/>
      </c>
      <c r="AS38" s="156">
        <f>'Add-On 8'!AS6*Assumptions!B38</f>
        <v/>
      </c>
      <c r="AT38" s="156">
        <f>'Add-On 8'!AT6*Assumptions!B38</f>
        <v/>
      </c>
      <c r="AU38" s="156">
        <f>'Add-On 8'!AU6*Assumptions!B38</f>
        <v/>
      </c>
      <c r="AV38" s="156">
        <f>'Add-On 8'!AV6*Assumptions!B38</f>
        <v/>
      </c>
      <c r="AW38" s="156">
        <f>'Add-On 8'!AW6*Assumptions!B38</f>
        <v/>
      </c>
      <c r="AX38" s="156">
        <f>'Add-On 8'!AX6*Assumptions!B38</f>
        <v/>
      </c>
      <c r="AY38" s="156">
        <f>'Add-On 8'!AY6*Assumptions!B38</f>
        <v/>
      </c>
      <c r="AZ38" s="156">
        <f>'Add-On 8'!AZ6*Assumptions!B38</f>
        <v/>
      </c>
      <c r="BA38" s="156">
        <f>'Add-On 8'!BA6*Assumptions!B38</f>
        <v/>
      </c>
      <c r="BB38" s="156">
        <f>'Add-On 8'!BB6*Assumptions!B38</f>
        <v/>
      </c>
      <c r="BC38" s="156">
        <f>'Add-On 8'!BC6*Assumptions!B38</f>
        <v/>
      </c>
      <c r="BD38" s="156">
        <f>'Add-On 8'!BD6*Assumptions!B38</f>
        <v/>
      </c>
      <c r="BE38" s="156">
        <f>'Add-On 8'!BE6*Assumptions!B38</f>
        <v/>
      </c>
      <c r="BF38" s="156">
        <f>'Add-On 8'!BF6*Assumptions!B38</f>
        <v/>
      </c>
      <c r="BG38" s="156">
        <f>'Add-On 8'!BG6*Assumptions!B38</f>
        <v/>
      </c>
      <c r="BH38" s="156">
        <f>'Add-On 8'!BH6*Assumptions!B38</f>
        <v/>
      </c>
      <c r="BI38" s="156">
        <f>'Add-On 8'!BI6*Assumptions!B38</f>
        <v/>
      </c>
      <c r="BJ38" s="156">
        <f>'Add-On 8'!BJ6*Assumptions!B38</f>
        <v/>
      </c>
      <c r="BL38" s="157">
        <f>C38+D38+E38+F38+G38+H38+I38+J38+K38+L38+M38+N38</f>
        <v/>
      </c>
      <c r="BM38" s="157">
        <f>O38+P38+Q38+R38+S38+T38+U38+V38+W38+X38+Y38+Z38</f>
        <v/>
      </c>
      <c r="BN38" s="157">
        <f>AA38+AB38+AC38+AD38+AE38+AF38+AG38+AH38+AI38+AJ38+AK38+AL38</f>
        <v/>
      </c>
      <c r="BO38" s="157">
        <f>AM38+AN38+AO38+AP38+AQ38+AR38+AS38+AT38+AU38+AV38+AW38+AX38</f>
        <v/>
      </c>
      <c r="BP38" s="157">
        <f>AY38+AZ38+BA38+BB38+BC38+BD38+BE38+BF38+BG38+BH38+BI38+BJ38</f>
        <v/>
      </c>
    </row>
    <row r="39" ht="15" customHeight="1" s="104">
      <c r="A39" s="107" t="inlineStr">
        <is>
          <t xml:space="preserve">    Add-On 8 – Goodwill Amort (§197)</t>
        </is>
      </c>
      <c r="C39" s="156">
        <f>IF('Add-On 8'!C4=0,0,Assumptions!C58*Assumptions!D58*Assumptions!E58/(Assumptions!B13*12))</f>
        <v/>
      </c>
      <c r="D39" s="156">
        <f>IF('Add-On 8'!D4=0,0,Assumptions!C58*Assumptions!D58*Assumptions!E58/(Assumptions!B13*12))</f>
        <v/>
      </c>
      <c r="E39" s="156">
        <f>IF('Add-On 8'!E4=0,0,Assumptions!C58*Assumptions!D58*Assumptions!E58/(Assumptions!B13*12))</f>
        <v/>
      </c>
      <c r="F39" s="156">
        <f>IF('Add-On 8'!F4=0,0,Assumptions!C58*Assumptions!D58*Assumptions!E58/(Assumptions!B13*12))</f>
        <v/>
      </c>
      <c r="G39" s="156">
        <f>IF('Add-On 8'!G4=0,0,Assumptions!C58*Assumptions!D58*Assumptions!E58/(Assumptions!B13*12))</f>
        <v/>
      </c>
      <c r="H39" s="156">
        <f>IF('Add-On 8'!H4=0,0,Assumptions!C58*Assumptions!D58*Assumptions!E58/(Assumptions!B13*12))</f>
        <v/>
      </c>
      <c r="I39" s="156">
        <f>IF('Add-On 8'!I4=0,0,Assumptions!C58*Assumptions!D58*Assumptions!E58/(Assumptions!B13*12))</f>
        <v/>
      </c>
      <c r="J39" s="156">
        <f>IF('Add-On 8'!J4=0,0,Assumptions!C58*Assumptions!D58*Assumptions!E58/(Assumptions!B13*12))</f>
        <v/>
      </c>
      <c r="K39" s="156">
        <f>IF('Add-On 8'!K4=0,0,Assumptions!C58*Assumptions!D58*Assumptions!E58/(Assumptions!B13*12))</f>
        <v/>
      </c>
      <c r="L39" s="156">
        <f>IF('Add-On 8'!L4=0,0,Assumptions!C58*Assumptions!D58*Assumptions!E58/(Assumptions!B13*12))</f>
        <v/>
      </c>
      <c r="M39" s="156">
        <f>IF('Add-On 8'!M4=0,0,Assumptions!C58*Assumptions!D58*Assumptions!E58/(Assumptions!B13*12))</f>
        <v/>
      </c>
      <c r="N39" s="156">
        <f>IF('Add-On 8'!N4=0,0,Assumptions!C58*Assumptions!D58*Assumptions!E58/(Assumptions!B13*12))</f>
        <v/>
      </c>
      <c r="O39" s="156">
        <f>IF('Add-On 8'!O4=0,0,Assumptions!C58*Assumptions!D58*Assumptions!E58/(Assumptions!B13*12))</f>
        <v/>
      </c>
      <c r="P39" s="156">
        <f>IF('Add-On 8'!P4=0,0,Assumptions!C58*Assumptions!D58*Assumptions!E58/(Assumptions!B13*12))</f>
        <v/>
      </c>
      <c r="Q39" s="156">
        <f>IF('Add-On 8'!Q4=0,0,Assumptions!C58*Assumptions!D58*Assumptions!E58/(Assumptions!B13*12))</f>
        <v/>
      </c>
      <c r="R39" s="156">
        <f>IF('Add-On 8'!R4=0,0,Assumptions!C58*Assumptions!D58*Assumptions!E58/(Assumptions!B13*12))</f>
        <v/>
      </c>
      <c r="S39" s="156">
        <f>IF('Add-On 8'!S4=0,0,Assumptions!C58*Assumptions!D58*Assumptions!E58/(Assumptions!B13*12))</f>
        <v/>
      </c>
      <c r="T39" s="156">
        <f>IF('Add-On 8'!T4=0,0,Assumptions!C58*Assumptions!D58*Assumptions!E58/(Assumptions!B13*12))</f>
        <v/>
      </c>
      <c r="U39" s="156">
        <f>IF('Add-On 8'!U4=0,0,Assumptions!C58*Assumptions!D58*Assumptions!E58/(Assumptions!B13*12))</f>
        <v/>
      </c>
      <c r="V39" s="156">
        <f>IF('Add-On 8'!V4=0,0,Assumptions!C58*Assumptions!D58*Assumptions!E58/(Assumptions!B13*12))</f>
        <v/>
      </c>
      <c r="W39" s="156">
        <f>IF('Add-On 8'!W4=0,0,Assumptions!C58*Assumptions!D58*Assumptions!E58/(Assumptions!B13*12))</f>
        <v/>
      </c>
      <c r="X39" s="156">
        <f>IF('Add-On 8'!X4=0,0,Assumptions!C58*Assumptions!D58*Assumptions!E58/(Assumptions!B13*12))</f>
        <v/>
      </c>
      <c r="Y39" s="156">
        <f>IF('Add-On 8'!Y4=0,0,Assumptions!C58*Assumptions!D58*Assumptions!E58/(Assumptions!B13*12))</f>
        <v/>
      </c>
      <c r="Z39" s="156">
        <f>IF('Add-On 8'!Z4=0,0,Assumptions!C58*Assumptions!D58*Assumptions!E58/(Assumptions!B13*12))</f>
        <v/>
      </c>
      <c r="AA39" s="156">
        <f>IF('Add-On 8'!AA4=0,0,Assumptions!C58*Assumptions!D58*Assumptions!E58/(Assumptions!B13*12))</f>
        <v/>
      </c>
      <c r="AB39" s="156">
        <f>IF('Add-On 8'!AB4=0,0,Assumptions!C58*Assumptions!D58*Assumptions!E58/(Assumptions!B13*12))</f>
        <v/>
      </c>
      <c r="AC39" s="156">
        <f>IF('Add-On 8'!AC4=0,0,Assumptions!C58*Assumptions!D58*Assumptions!E58/(Assumptions!B13*12))</f>
        <v/>
      </c>
      <c r="AD39" s="156">
        <f>IF('Add-On 8'!AD4=0,0,Assumptions!C58*Assumptions!D58*Assumptions!E58/(Assumptions!B13*12))</f>
        <v/>
      </c>
      <c r="AE39" s="156">
        <f>IF('Add-On 8'!AE4=0,0,Assumptions!C58*Assumptions!D58*Assumptions!E58/(Assumptions!B13*12))</f>
        <v/>
      </c>
      <c r="AF39" s="156">
        <f>IF('Add-On 8'!AF4=0,0,Assumptions!C58*Assumptions!D58*Assumptions!E58/(Assumptions!B13*12))</f>
        <v/>
      </c>
      <c r="AG39" s="156">
        <f>IF('Add-On 8'!AG4=0,0,Assumptions!C58*Assumptions!D58*Assumptions!E58/(Assumptions!B13*12))</f>
        <v/>
      </c>
      <c r="AH39" s="156">
        <f>IF('Add-On 8'!AH4=0,0,Assumptions!C58*Assumptions!D58*Assumptions!E58/(Assumptions!B13*12))</f>
        <v/>
      </c>
      <c r="AI39" s="156">
        <f>IF('Add-On 8'!AI4=0,0,Assumptions!C58*Assumptions!D58*Assumptions!E58/(Assumptions!B13*12))</f>
        <v/>
      </c>
      <c r="AJ39" s="156">
        <f>IF('Add-On 8'!AJ4=0,0,Assumptions!C58*Assumptions!D58*Assumptions!E58/(Assumptions!B13*12))</f>
        <v/>
      </c>
      <c r="AK39" s="156">
        <f>IF('Add-On 8'!AK4=0,0,Assumptions!C58*Assumptions!D58*Assumptions!E58/(Assumptions!B13*12))</f>
        <v/>
      </c>
      <c r="AL39" s="156">
        <f>IF('Add-On 8'!AL4=0,0,Assumptions!C58*Assumptions!D58*Assumptions!E58/(Assumptions!B13*12))</f>
        <v/>
      </c>
      <c r="AM39" s="156">
        <f>IF('Add-On 8'!AM4=0,0,Assumptions!C58*Assumptions!D58*Assumptions!E58/(Assumptions!B13*12))</f>
        <v/>
      </c>
      <c r="AN39" s="156">
        <f>IF('Add-On 8'!AN4=0,0,Assumptions!C58*Assumptions!D58*Assumptions!E58/(Assumptions!B13*12))</f>
        <v/>
      </c>
      <c r="AO39" s="156">
        <f>IF('Add-On 8'!AO4=0,0,Assumptions!C58*Assumptions!D58*Assumptions!E58/(Assumptions!B13*12))</f>
        <v/>
      </c>
      <c r="AP39" s="156">
        <f>IF('Add-On 8'!AP4=0,0,Assumptions!C58*Assumptions!D58*Assumptions!E58/(Assumptions!B13*12))</f>
        <v/>
      </c>
      <c r="AQ39" s="156">
        <f>IF('Add-On 8'!AQ4=0,0,Assumptions!C58*Assumptions!D58*Assumptions!E58/(Assumptions!B13*12))</f>
        <v/>
      </c>
      <c r="AR39" s="156">
        <f>IF('Add-On 8'!AR4=0,0,Assumptions!C58*Assumptions!D58*Assumptions!E58/(Assumptions!B13*12))</f>
        <v/>
      </c>
      <c r="AS39" s="156">
        <f>IF('Add-On 8'!AS4=0,0,Assumptions!C58*Assumptions!D58*Assumptions!E58/(Assumptions!B13*12))</f>
        <v/>
      </c>
      <c r="AT39" s="156">
        <f>IF('Add-On 8'!AT4=0,0,Assumptions!C58*Assumptions!D58*Assumptions!E58/(Assumptions!B13*12))</f>
        <v/>
      </c>
      <c r="AU39" s="156">
        <f>IF('Add-On 8'!AU4=0,0,Assumptions!C58*Assumptions!D58*Assumptions!E58/(Assumptions!B13*12))</f>
        <v/>
      </c>
      <c r="AV39" s="156">
        <f>IF('Add-On 8'!AV4=0,0,Assumptions!C58*Assumptions!D58*Assumptions!E58/(Assumptions!B13*12))</f>
        <v/>
      </c>
      <c r="AW39" s="156">
        <f>IF('Add-On 8'!AW4=0,0,Assumptions!C58*Assumptions!D58*Assumptions!E58/(Assumptions!B13*12))</f>
        <v/>
      </c>
      <c r="AX39" s="156">
        <f>IF('Add-On 8'!AX4=0,0,Assumptions!C58*Assumptions!D58*Assumptions!E58/(Assumptions!B13*12))</f>
        <v/>
      </c>
      <c r="AY39" s="156">
        <f>IF('Add-On 8'!AY4=0,0,Assumptions!C58*Assumptions!D58*Assumptions!E58/(Assumptions!B13*12))</f>
        <v/>
      </c>
      <c r="AZ39" s="156">
        <f>IF('Add-On 8'!AZ4=0,0,Assumptions!C58*Assumptions!D58*Assumptions!E58/(Assumptions!B13*12))</f>
        <v/>
      </c>
      <c r="BA39" s="156">
        <f>IF('Add-On 8'!BA4=0,0,Assumptions!C58*Assumptions!D58*Assumptions!E58/(Assumptions!B13*12))</f>
        <v/>
      </c>
      <c r="BB39" s="156">
        <f>IF('Add-On 8'!BB4=0,0,Assumptions!C58*Assumptions!D58*Assumptions!E58/(Assumptions!B13*12))</f>
        <v/>
      </c>
      <c r="BC39" s="156">
        <f>IF('Add-On 8'!BC4=0,0,Assumptions!C58*Assumptions!D58*Assumptions!E58/(Assumptions!B13*12))</f>
        <v/>
      </c>
      <c r="BD39" s="156">
        <f>IF('Add-On 8'!BD4=0,0,Assumptions!C58*Assumptions!D58*Assumptions!E58/(Assumptions!B13*12))</f>
        <v/>
      </c>
      <c r="BE39" s="156">
        <f>IF('Add-On 8'!BE4=0,0,Assumptions!C58*Assumptions!D58*Assumptions!E58/(Assumptions!B13*12))</f>
        <v/>
      </c>
      <c r="BF39" s="156">
        <f>IF('Add-On 8'!BF4=0,0,Assumptions!C58*Assumptions!D58*Assumptions!E58/(Assumptions!B13*12))</f>
        <v/>
      </c>
      <c r="BG39" s="156">
        <f>IF('Add-On 8'!BG4=0,0,Assumptions!C58*Assumptions!D58*Assumptions!E58/(Assumptions!B13*12))</f>
        <v/>
      </c>
      <c r="BH39" s="156">
        <f>IF('Add-On 8'!BH4=0,0,Assumptions!C58*Assumptions!D58*Assumptions!E58/(Assumptions!B13*12))</f>
        <v/>
      </c>
      <c r="BI39" s="156">
        <f>IF('Add-On 8'!BI4=0,0,Assumptions!C58*Assumptions!D58*Assumptions!E58/(Assumptions!B13*12))</f>
        <v/>
      </c>
      <c r="BJ39" s="156">
        <f>IF('Add-On 8'!BJ4=0,0,Assumptions!C58*Assumptions!D58*Assumptions!E58/(Assumptions!B13*12))</f>
        <v/>
      </c>
      <c r="BL39" s="157">
        <f>C39+D39+E39+F39+G39+H39+I39+J39+K39+L39+M39+N39</f>
        <v/>
      </c>
      <c r="BM39" s="157">
        <f>O39+P39+Q39+R39+S39+T39+U39+V39+W39+X39+Y39+Z39</f>
        <v/>
      </c>
      <c r="BN39" s="157">
        <f>AA39+AB39+AC39+AD39+AE39+AF39+AG39+AH39+AI39+AJ39+AK39+AL39</f>
        <v/>
      </c>
      <c r="BO39" s="157">
        <f>AM39+AN39+AO39+AP39+AQ39+AR39+AS39+AT39+AU39+AV39+AW39+AX39</f>
        <v/>
      </c>
      <c r="BP39" s="157">
        <f>AY39+AZ39+BA39+BB39+BC39+BD39+BE39+BF39+BG39+BH39+BI39+BJ39</f>
        <v/>
      </c>
    </row>
    <row r="40" ht="15" customHeight="1" s="104">
      <c r="A40" s="116" t="inlineStr">
        <is>
          <t xml:space="preserve">    Add-On 8 – Total D&amp;A</t>
        </is>
      </c>
      <c r="C40" s="151">
        <f>C38+C39</f>
        <v/>
      </c>
      <c r="D40" s="151">
        <f>D38+D39</f>
        <v/>
      </c>
      <c r="E40" s="151">
        <f>E38+E39</f>
        <v/>
      </c>
      <c r="F40" s="151">
        <f>F38+F39</f>
        <v/>
      </c>
      <c r="G40" s="151">
        <f>G38+G39</f>
        <v/>
      </c>
      <c r="H40" s="151">
        <f>H38+H39</f>
        <v/>
      </c>
      <c r="I40" s="151">
        <f>I38+I39</f>
        <v/>
      </c>
      <c r="J40" s="151">
        <f>J38+J39</f>
        <v/>
      </c>
      <c r="K40" s="151">
        <f>K38+K39</f>
        <v/>
      </c>
      <c r="L40" s="151">
        <f>L38+L39</f>
        <v/>
      </c>
      <c r="M40" s="151">
        <f>M38+M39</f>
        <v/>
      </c>
      <c r="N40" s="151">
        <f>N38+N39</f>
        <v/>
      </c>
      <c r="O40" s="151">
        <f>O38+O39</f>
        <v/>
      </c>
      <c r="P40" s="151">
        <f>P38+P39</f>
        <v/>
      </c>
      <c r="Q40" s="151">
        <f>Q38+Q39</f>
        <v/>
      </c>
      <c r="R40" s="151">
        <f>R38+R39</f>
        <v/>
      </c>
      <c r="S40" s="151">
        <f>S38+S39</f>
        <v/>
      </c>
      <c r="T40" s="151">
        <f>T38+T39</f>
        <v/>
      </c>
      <c r="U40" s="151">
        <f>U38+U39</f>
        <v/>
      </c>
      <c r="V40" s="151">
        <f>V38+V39</f>
        <v/>
      </c>
      <c r="W40" s="151">
        <f>W38+W39</f>
        <v/>
      </c>
      <c r="X40" s="151">
        <f>X38+X39</f>
        <v/>
      </c>
      <c r="Y40" s="151">
        <f>Y38+Y39</f>
        <v/>
      </c>
      <c r="Z40" s="151">
        <f>Z38+Z39</f>
        <v/>
      </c>
      <c r="AA40" s="151">
        <f>AA38+AA39</f>
        <v/>
      </c>
      <c r="AB40" s="151">
        <f>AB38+AB39</f>
        <v/>
      </c>
      <c r="AC40" s="151">
        <f>AC38+AC39</f>
        <v/>
      </c>
      <c r="AD40" s="151">
        <f>AD38+AD39</f>
        <v/>
      </c>
      <c r="AE40" s="151">
        <f>AE38+AE39</f>
        <v/>
      </c>
      <c r="AF40" s="151">
        <f>AF38+AF39</f>
        <v/>
      </c>
      <c r="AG40" s="151">
        <f>AG38+AG39</f>
        <v/>
      </c>
      <c r="AH40" s="151">
        <f>AH38+AH39</f>
        <v/>
      </c>
      <c r="AI40" s="151">
        <f>AI38+AI39</f>
        <v/>
      </c>
      <c r="AJ40" s="151">
        <f>AJ38+AJ39</f>
        <v/>
      </c>
      <c r="AK40" s="151">
        <f>AK38+AK39</f>
        <v/>
      </c>
      <c r="AL40" s="151">
        <f>AL38+AL39</f>
        <v/>
      </c>
      <c r="AM40" s="151">
        <f>AM38+AM39</f>
        <v/>
      </c>
      <c r="AN40" s="151">
        <f>AN38+AN39</f>
        <v/>
      </c>
      <c r="AO40" s="151">
        <f>AO38+AO39</f>
        <v/>
      </c>
      <c r="AP40" s="151">
        <f>AP38+AP39</f>
        <v/>
      </c>
      <c r="AQ40" s="151">
        <f>AQ38+AQ39</f>
        <v/>
      </c>
      <c r="AR40" s="151">
        <f>AR38+AR39</f>
        <v/>
      </c>
      <c r="AS40" s="151">
        <f>AS38+AS39</f>
        <v/>
      </c>
      <c r="AT40" s="151">
        <f>AT38+AT39</f>
        <v/>
      </c>
      <c r="AU40" s="151">
        <f>AU38+AU39</f>
        <v/>
      </c>
      <c r="AV40" s="151">
        <f>AV38+AV39</f>
        <v/>
      </c>
      <c r="AW40" s="151">
        <f>AW38+AW39</f>
        <v/>
      </c>
      <c r="AX40" s="151">
        <f>AX38+AX39</f>
        <v/>
      </c>
      <c r="AY40" s="151">
        <f>AY38+AY39</f>
        <v/>
      </c>
      <c r="AZ40" s="151">
        <f>AZ38+AZ39</f>
        <v/>
      </c>
      <c r="BA40" s="151">
        <f>BA38+BA39</f>
        <v/>
      </c>
      <c r="BB40" s="151">
        <f>BB38+BB39</f>
        <v/>
      </c>
      <c r="BC40" s="151">
        <f>BC38+BC39</f>
        <v/>
      </c>
      <c r="BD40" s="151">
        <f>BD38+BD39</f>
        <v/>
      </c>
      <c r="BE40" s="151">
        <f>BE38+BE39</f>
        <v/>
      </c>
      <c r="BF40" s="151">
        <f>BF38+BF39</f>
        <v/>
      </c>
      <c r="BG40" s="151">
        <f>BG38+BG39</f>
        <v/>
      </c>
      <c r="BH40" s="151">
        <f>BH38+BH39</f>
        <v/>
      </c>
      <c r="BI40" s="151">
        <f>BI38+BI39</f>
        <v/>
      </c>
      <c r="BJ40" s="151">
        <f>BJ38+BJ39</f>
        <v/>
      </c>
      <c r="BL40" s="152">
        <f>C40+D40+E40+F40+G40+H40+I40+J40+K40+L40+M40+N40</f>
        <v/>
      </c>
      <c r="BM40" s="152">
        <f>O40+P40+Q40+R40+S40+T40+U40+V40+W40+X40+Y40+Z40</f>
        <v/>
      </c>
      <c r="BN40" s="152">
        <f>AA40+AB40+AC40+AD40+AE40+AF40+AG40+AH40+AI40+AJ40+AK40+AL40</f>
        <v/>
      </c>
      <c r="BO40" s="152">
        <f>AM40+AN40+AO40+AP40+AQ40+AR40+AS40+AT40+AU40+AV40+AW40+AX40</f>
        <v/>
      </c>
      <c r="BP40" s="152">
        <f>AY40+AZ40+BA40+BB40+BC40+BD40+BE40+BF40+BG40+BH40+BI40+BJ40</f>
        <v/>
      </c>
    </row>
    <row r="41" ht="15" customHeight="1" s="104">
      <c r="A41" s="106" t="inlineStr">
        <is>
          <t>ADD-ON 9</t>
        </is>
      </c>
    </row>
    <row r="42" ht="15" customHeight="1" s="104">
      <c r="A42" s="107" t="inlineStr">
        <is>
          <t xml:space="preserve">    Add-On 9 – PP&amp;E D&amp;A</t>
        </is>
      </c>
      <c r="C42" s="156">
        <f>'Add-On 9'!C6*Assumptions!B38</f>
        <v/>
      </c>
      <c r="D42" s="156">
        <f>'Add-On 9'!D6*Assumptions!B38</f>
        <v/>
      </c>
      <c r="E42" s="156">
        <f>'Add-On 9'!E6*Assumptions!B38</f>
        <v/>
      </c>
      <c r="F42" s="156">
        <f>'Add-On 9'!F6*Assumptions!B38</f>
        <v/>
      </c>
      <c r="G42" s="156">
        <f>'Add-On 9'!G6*Assumptions!B38</f>
        <v/>
      </c>
      <c r="H42" s="156">
        <f>'Add-On 9'!H6*Assumptions!B38</f>
        <v/>
      </c>
      <c r="I42" s="156">
        <f>'Add-On 9'!I6*Assumptions!B38</f>
        <v/>
      </c>
      <c r="J42" s="156">
        <f>'Add-On 9'!J6*Assumptions!B38</f>
        <v/>
      </c>
      <c r="K42" s="156">
        <f>'Add-On 9'!K6*Assumptions!B38</f>
        <v/>
      </c>
      <c r="L42" s="156">
        <f>'Add-On 9'!L6*Assumptions!B38</f>
        <v/>
      </c>
      <c r="M42" s="156">
        <f>'Add-On 9'!M6*Assumptions!B38</f>
        <v/>
      </c>
      <c r="N42" s="156">
        <f>'Add-On 9'!N6*Assumptions!B38</f>
        <v/>
      </c>
      <c r="O42" s="156">
        <f>'Add-On 9'!O6*Assumptions!B38</f>
        <v/>
      </c>
      <c r="P42" s="156">
        <f>'Add-On 9'!P6*Assumptions!B38</f>
        <v/>
      </c>
      <c r="Q42" s="156">
        <f>'Add-On 9'!Q6*Assumptions!B38</f>
        <v/>
      </c>
      <c r="R42" s="156">
        <f>'Add-On 9'!R6*Assumptions!B38</f>
        <v/>
      </c>
      <c r="S42" s="156">
        <f>'Add-On 9'!S6*Assumptions!B38</f>
        <v/>
      </c>
      <c r="T42" s="156">
        <f>'Add-On 9'!T6*Assumptions!B38</f>
        <v/>
      </c>
      <c r="U42" s="156">
        <f>'Add-On 9'!U6*Assumptions!B38</f>
        <v/>
      </c>
      <c r="V42" s="156">
        <f>'Add-On 9'!V6*Assumptions!B38</f>
        <v/>
      </c>
      <c r="W42" s="156">
        <f>'Add-On 9'!W6*Assumptions!B38</f>
        <v/>
      </c>
      <c r="X42" s="156">
        <f>'Add-On 9'!X6*Assumptions!B38</f>
        <v/>
      </c>
      <c r="Y42" s="156">
        <f>'Add-On 9'!Y6*Assumptions!B38</f>
        <v/>
      </c>
      <c r="Z42" s="156">
        <f>'Add-On 9'!Z6*Assumptions!B38</f>
        <v/>
      </c>
      <c r="AA42" s="156">
        <f>'Add-On 9'!AA6*Assumptions!B38</f>
        <v/>
      </c>
      <c r="AB42" s="156">
        <f>'Add-On 9'!AB6*Assumptions!B38</f>
        <v/>
      </c>
      <c r="AC42" s="156">
        <f>'Add-On 9'!AC6*Assumptions!B38</f>
        <v/>
      </c>
      <c r="AD42" s="156">
        <f>'Add-On 9'!AD6*Assumptions!B38</f>
        <v/>
      </c>
      <c r="AE42" s="156">
        <f>'Add-On 9'!AE6*Assumptions!B38</f>
        <v/>
      </c>
      <c r="AF42" s="156">
        <f>'Add-On 9'!AF6*Assumptions!B38</f>
        <v/>
      </c>
      <c r="AG42" s="156">
        <f>'Add-On 9'!AG6*Assumptions!B38</f>
        <v/>
      </c>
      <c r="AH42" s="156">
        <f>'Add-On 9'!AH6*Assumptions!B38</f>
        <v/>
      </c>
      <c r="AI42" s="156">
        <f>'Add-On 9'!AI6*Assumptions!B38</f>
        <v/>
      </c>
      <c r="AJ42" s="156">
        <f>'Add-On 9'!AJ6*Assumptions!B38</f>
        <v/>
      </c>
      <c r="AK42" s="156">
        <f>'Add-On 9'!AK6*Assumptions!B38</f>
        <v/>
      </c>
      <c r="AL42" s="156">
        <f>'Add-On 9'!AL6*Assumptions!B38</f>
        <v/>
      </c>
      <c r="AM42" s="156">
        <f>'Add-On 9'!AM6*Assumptions!B38</f>
        <v/>
      </c>
      <c r="AN42" s="156">
        <f>'Add-On 9'!AN6*Assumptions!B38</f>
        <v/>
      </c>
      <c r="AO42" s="156">
        <f>'Add-On 9'!AO6*Assumptions!B38</f>
        <v/>
      </c>
      <c r="AP42" s="156">
        <f>'Add-On 9'!AP6*Assumptions!B38</f>
        <v/>
      </c>
      <c r="AQ42" s="156">
        <f>'Add-On 9'!AQ6*Assumptions!B38</f>
        <v/>
      </c>
      <c r="AR42" s="156">
        <f>'Add-On 9'!AR6*Assumptions!B38</f>
        <v/>
      </c>
      <c r="AS42" s="156">
        <f>'Add-On 9'!AS6*Assumptions!B38</f>
        <v/>
      </c>
      <c r="AT42" s="156">
        <f>'Add-On 9'!AT6*Assumptions!B38</f>
        <v/>
      </c>
      <c r="AU42" s="156">
        <f>'Add-On 9'!AU6*Assumptions!B38</f>
        <v/>
      </c>
      <c r="AV42" s="156">
        <f>'Add-On 9'!AV6*Assumptions!B38</f>
        <v/>
      </c>
      <c r="AW42" s="156">
        <f>'Add-On 9'!AW6*Assumptions!B38</f>
        <v/>
      </c>
      <c r="AX42" s="156">
        <f>'Add-On 9'!AX6*Assumptions!B38</f>
        <v/>
      </c>
      <c r="AY42" s="156">
        <f>'Add-On 9'!AY6*Assumptions!B38</f>
        <v/>
      </c>
      <c r="AZ42" s="156">
        <f>'Add-On 9'!AZ6*Assumptions!B38</f>
        <v/>
      </c>
      <c r="BA42" s="156">
        <f>'Add-On 9'!BA6*Assumptions!B38</f>
        <v/>
      </c>
      <c r="BB42" s="156">
        <f>'Add-On 9'!BB6*Assumptions!B38</f>
        <v/>
      </c>
      <c r="BC42" s="156">
        <f>'Add-On 9'!BC6*Assumptions!B38</f>
        <v/>
      </c>
      <c r="BD42" s="156">
        <f>'Add-On 9'!BD6*Assumptions!B38</f>
        <v/>
      </c>
      <c r="BE42" s="156">
        <f>'Add-On 9'!BE6*Assumptions!B38</f>
        <v/>
      </c>
      <c r="BF42" s="156">
        <f>'Add-On 9'!BF6*Assumptions!B38</f>
        <v/>
      </c>
      <c r="BG42" s="156">
        <f>'Add-On 9'!BG6*Assumptions!B38</f>
        <v/>
      </c>
      <c r="BH42" s="156">
        <f>'Add-On 9'!BH6*Assumptions!B38</f>
        <v/>
      </c>
      <c r="BI42" s="156">
        <f>'Add-On 9'!BI6*Assumptions!B38</f>
        <v/>
      </c>
      <c r="BJ42" s="156">
        <f>'Add-On 9'!BJ6*Assumptions!B38</f>
        <v/>
      </c>
      <c r="BL42" s="157">
        <f>C42+D42+E42+F42+G42+H42+I42+J42+K42+L42+M42+N42</f>
        <v/>
      </c>
      <c r="BM42" s="157">
        <f>O42+P42+Q42+R42+S42+T42+U42+V42+W42+X42+Y42+Z42</f>
        <v/>
      </c>
      <c r="BN42" s="157">
        <f>AA42+AB42+AC42+AD42+AE42+AF42+AG42+AH42+AI42+AJ42+AK42+AL42</f>
        <v/>
      </c>
      <c r="BO42" s="157">
        <f>AM42+AN42+AO42+AP42+AQ42+AR42+AS42+AT42+AU42+AV42+AW42+AX42</f>
        <v/>
      </c>
      <c r="BP42" s="157">
        <f>AY42+AZ42+BA42+BB42+BC42+BD42+BE42+BF42+BG42+BH42+BI42+BJ42</f>
        <v/>
      </c>
    </row>
    <row r="43" ht="15" customHeight="1" s="104">
      <c r="A43" s="107" t="inlineStr">
        <is>
          <t xml:space="preserve">    Add-On 9 – Goodwill Amort (§197)</t>
        </is>
      </c>
      <c r="C43" s="156">
        <f>IF('Add-On 9'!C4=0,0,Assumptions!C59*Assumptions!D59*Assumptions!E59/(Assumptions!B13*12))</f>
        <v/>
      </c>
      <c r="D43" s="156">
        <f>IF('Add-On 9'!D4=0,0,Assumptions!C59*Assumptions!D59*Assumptions!E59/(Assumptions!B13*12))</f>
        <v/>
      </c>
      <c r="E43" s="156">
        <f>IF('Add-On 9'!E4=0,0,Assumptions!C59*Assumptions!D59*Assumptions!E59/(Assumptions!B13*12))</f>
        <v/>
      </c>
      <c r="F43" s="156">
        <f>IF('Add-On 9'!F4=0,0,Assumptions!C59*Assumptions!D59*Assumptions!E59/(Assumptions!B13*12))</f>
        <v/>
      </c>
      <c r="G43" s="156">
        <f>IF('Add-On 9'!G4=0,0,Assumptions!C59*Assumptions!D59*Assumptions!E59/(Assumptions!B13*12))</f>
        <v/>
      </c>
      <c r="H43" s="156">
        <f>IF('Add-On 9'!H4=0,0,Assumptions!C59*Assumptions!D59*Assumptions!E59/(Assumptions!B13*12))</f>
        <v/>
      </c>
      <c r="I43" s="156">
        <f>IF('Add-On 9'!I4=0,0,Assumptions!C59*Assumptions!D59*Assumptions!E59/(Assumptions!B13*12))</f>
        <v/>
      </c>
      <c r="J43" s="156">
        <f>IF('Add-On 9'!J4=0,0,Assumptions!C59*Assumptions!D59*Assumptions!E59/(Assumptions!B13*12))</f>
        <v/>
      </c>
      <c r="K43" s="156">
        <f>IF('Add-On 9'!K4=0,0,Assumptions!C59*Assumptions!D59*Assumptions!E59/(Assumptions!B13*12))</f>
        <v/>
      </c>
      <c r="L43" s="156">
        <f>IF('Add-On 9'!L4=0,0,Assumptions!C59*Assumptions!D59*Assumptions!E59/(Assumptions!B13*12))</f>
        <v/>
      </c>
      <c r="M43" s="156">
        <f>IF('Add-On 9'!M4=0,0,Assumptions!C59*Assumptions!D59*Assumptions!E59/(Assumptions!B13*12))</f>
        <v/>
      </c>
      <c r="N43" s="156">
        <f>IF('Add-On 9'!N4=0,0,Assumptions!C59*Assumptions!D59*Assumptions!E59/(Assumptions!B13*12))</f>
        <v/>
      </c>
      <c r="O43" s="156">
        <f>IF('Add-On 9'!O4=0,0,Assumptions!C59*Assumptions!D59*Assumptions!E59/(Assumptions!B13*12))</f>
        <v/>
      </c>
      <c r="P43" s="156">
        <f>IF('Add-On 9'!P4=0,0,Assumptions!C59*Assumptions!D59*Assumptions!E59/(Assumptions!B13*12))</f>
        <v/>
      </c>
      <c r="Q43" s="156">
        <f>IF('Add-On 9'!Q4=0,0,Assumptions!C59*Assumptions!D59*Assumptions!E59/(Assumptions!B13*12))</f>
        <v/>
      </c>
      <c r="R43" s="156">
        <f>IF('Add-On 9'!R4=0,0,Assumptions!C59*Assumptions!D59*Assumptions!E59/(Assumptions!B13*12))</f>
        <v/>
      </c>
      <c r="S43" s="156">
        <f>IF('Add-On 9'!S4=0,0,Assumptions!C59*Assumptions!D59*Assumptions!E59/(Assumptions!B13*12))</f>
        <v/>
      </c>
      <c r="T43" s="156">
        <f>IF('Add-On 9'!T4=0,0,Assumptions!C59*Assumptions!D59*Assumptions!E59/(Assumptions!B13*12))</f>
        <v/>
      </c>
      <c r="U43" s="156">
        <f>IF('Add-On 9'!U4=0,0,Assumptions!C59*Assumptions!D59*Assumptions!E59/(Assumptions!B13*12))</f>
        <v/>
      </c>
      <c r="V43" s="156">
        <f>IF('Add-On 9'!V4=0,0,Assumptions!C59*Assumptions!D59*Assumptions!E59/(Assumptions!B13*12))</f>
        <v/>
      </c>
      <c r="W43" s="156">
        <f>IF('Add-On 9'!W4=0,0,Assumptions!C59*Assumptions!D59*Assumptions!E59/(Assumptions!B13*12))</f>
        <v/>
      </c>
      <c r="X43" s="156">
        <f>IF('Add-On 9'!X4=0,0,Assumptions!C59*Assumptions!D59*Assumptions!E59/(Assumptions!B13*12))</f>
        <v/>
      </c>
      <c r="Y43" s="156">
        <f>IF('Add-On 9'!Y4=0,0,Assumptions!C59*Assumptions!D59*Assumptions!E59/(Assumptions!B13*12))</f>
        <v/>
      </c>
      <c r="Z43" s="156">
        <f>IF('Add-On 9'!Z4=0,0,Assumptions!C59*Assumptions!D59*Assumptions!E59/(Assumptions!B13*12))</f>
        <v/>
      </c>
      <c r="AA43" s="156">
        <f>IF('Add-On 9'!AA4=0,0,Assumptions!C59*Assumptions!D59*Assumptions!E59/(Assumptions!B13*12))</f>
        <v/>
      </c>
      <c r="AB43" s="156">
        <f>IF('Add-On 9'!AB4=0,0,Assumptions!C59*Assumptions!D59*Assumptions!E59/(Assumptions!B13*12))</f>
        <v/>
      </c>
      <c r="AC43" s="156">
        <f>IF('Add-On 9'!AC4=0,0,Assumptions!C59*Assumptions!D59*Assumptions!E59/(Assumptions!B13*12))</f>
        <v/>
      </c>
      <c r="AD43" s="156">
        <f>IF('Add-On 9'!AD4=0,0,Assumptions!C59*Assumptions!D59*Assumptions!E59/(Assumptions!B13*12))</f>
        <v/>
      </c>
      <c r="AE43" s="156">
        <f>IF('Add-On 9'!AE4=0,0,Assumptions!C59*Assumptions!D59*Assumptions!E59/(Assumptions!B13*12))</f>
        <v/>
      </c>
      <c r="AF43" s="156">
        <f>IF('Add-On 9'!AF4=0,0,Assumptions!C59*Assumptions!D59*Assumptions!E59/(Assumptions!B13*12))</f>
        <v/>
      </c>
      <c r="AG43" s="156">
        <f>IF('Add-On 9'!AG4=0,0,Assumptions!C59*Assumptions!D59*Assumptions!E59/(Assumptions!B13*12))</f>
        <v/>
      </c>
      <c r="AH43" s="156">
        <f>IF('Add-On 9'!AH4=0,0,Assumptions!C59*Assumptions!D59*Assumptions!E59/(Assumptions!B13*12))</f>
        <v/>
      </c>
      <c r="AI43" s="156">
        <f>IF('Add-On 9'!AI4=0,0,Assumptions!C59*Assumptions!D59*Assumptions!E59/(Assumptions!B13*12))</f>
        <v/>
      </c>
      <c r="AJ43" s="156">
        <f>IF('Add-On 9'!AJ4=0,0,Assumptions!C59*Assumptions!D59*Assumptions!E59/(Assumptions!B13*12))</f>
        <v/>
      </c>
      <c r="AK43" s="156">
        <f>IF('Add-On 9'!AK4=0,0,Assumptions!C59*Assumptions!D59*Assumptions!E59/(Assumptions!B13*12))</f>
        <v/>
      </c>
      <c r="AL43" s="156">
        <f>IF('Add-On 9'!AL4=0,0,Assumptions!C59*Assumptions!D59*Assumptions!E59/(Assumptions!B13*12))</f>
        <v/>
      </c>
      <c r="AM43" s="156">
        <f>IF('Add-On 9'!AM4=0,0,Assumptions!C59*Assumptions!D59*Assumptions!E59/(Assumptions!B13*12))</f>
        <v/>
      </c>
      <c r="AN43" s="156">
        <f>IF('Add-On 9'!AN4=0,0,Assumptions!C59*Assumptions!D59*Assumptions!E59/(Assumptions!B13*12))</f>
        <v/>
      </c>
      <c r="AO43" s="156">
        <f>IF('Add-On 9'!AO4=0,0,Assumptions!C59*Assumptions!D59*Assumptions!E59/(Assumptions!B13*12))</f>
        <v/>
      </c>
      <c r="AP43" s="156">
        <f>IF('Add-On 9'!AP4=0,0,Assumptions!C59*Assumptions!D59*Assumptions!E59/(Assumptions!B13*12))</f>
        <v/>
      </c>
      <c r="AQ43" s="156">
        <f>IF('Add-On 9'!AQ4=0,0,Assumptions!C59*Assumptions!D59*Assumptions!E59/(Assumptions!B13*12))</f>
        <v/>
      </c>
      <c r="AR43" s="156">
        <f>IF('Add-On 9'!AR4=0,0,Assumptions!C59*Assumptions!D59*Assumptions!E59/(Assumptions!B13*12))</f>
        <v/>
      </c>
      <c r="AS43" s="156">
        <f>IF('Add-On 9'!AS4=0,0,Assumptions!C59*Assumptions!D59*Assumptions!E59/(Assumptions!B13*12))</f>
        <v/>
      </c>
      <c r="AT43" s="156">
        <f>IF('Add-On 9'!AT4=0,0,Assumptions!C59*Assumptions!D59*Assumptions!E59/(Assumptions!B13*12))</f>
        <v/>
      </c>
      <c r="AU43" s="156">
        <f>IF('Add-On 9'!AU4=0,0,Assumptions!C59*Assumptions!D59*Assumptions!E59/(Assumptions!B13*12))</f>
        <v/>
      </c>
      <c r="AV43" s="156">
        <f>IF('Add-On 9'!AV4=0,0,Assumptions!C59*Assumptions!D59*Assumptions!E59/(Assumptions!B13*12))</f>
        <v/>
      </c>
      <c r="AW43" s="156">
        <f>IF('Add-On 9'!AW4=0,0,Assumptions!C59*Assumptions!D59*Assumptions!E59/(Assumptions!B13*12))</f>
        <v/>
      </c>
      <c r="AX43" s="156">
        <f>IF('Add-On 9'!AX4=0,0,Assumptions!C59*Assumptions!D59*Assumptions!E59/(Assumptions!B13*12))</f>
        <v/>
      </c>
      <c r="AY43" s="156">
        <f>IF('Add-On 9'!AY4=0,0,Assumptions!C59*Assumptions!D59*Assumptions!E59/(Assumptions!B13*12))</f>
        <v/>
      </c>
      <c r="AZ43" s="156">
        <f>IF('Add-On 9'!AZ4=0,0,Assumptions!C59*Assumptions!D59*Assumptions!E59/(Assumptions!B13*12))</f>
        <v/>
      </c>
      <c r="BA43" s="156">
        <f>IF('Add-On 9'!BA4=0,0,Assumptions!C59*Assumptions!D59*Assumptions!E59/(Assumptions!B13*12))</f>
        <v/>
      </c>
      <c r="BB43" s="156">
        <f>IF('Add-On 9'!BB4=0,0,Assumptions!C59*Assumptions!D59*Assumptions!E59/(Assumptions!B13*12))</f>
        <v/>
      </c>
      <c r="BC43" s="156">
        <f>IF('Add-On 9'!BC4=0,0,Assumptions!C59*Assumptions!D59*Assumptions!E59/(Assumptions!B13*12))</f>
        <v/>
      </c>
      <c r="BD43" s="156">
        <f>IF('Add-On 9'!BD4=0,0,Assumptions!C59*Assumptions!D59*Assumptions!E59/(Assumptions!B13*12))</f>
        <v/>
      </c>
      <c r="BE43" s="156">
        <f>IF('Add-On 9'!BE4=0,0,Assumptions!C59*Assumptions!D59*Assumptions!E59/(Assumptions!B13*12))</f>
        <v/>
      </c>
      <c r="BF43" s="156">
        <f>IF('Add-On 9'!BF4=0,0,Assumptions!C59*Assumptions!D59*Assumptions!E59/(Assumptions!B13*12))</f>
        <v/>
      </c>
      <c r="BG43" s="156">
        <f>IF('Add-On 9'!BG4=0,0,Assumptions!C59*Assumptions!D59*Assumptions!E59/(Assumptions!B13*12))</f>
        <v/>
      </c>
      <c r="BH43" s="156">
        <f>IF('Add-On 9'!BH4=0,0,Assumptions!C59*Assumptions!D59*Assumptions!E59/(Assumptions!B13*12))</f>
        <v/>
      </c>
      <c r="BI43" s="156">
        <f>IF('Add-On 9'!BI4=0,0,Assumptions!C59*Assumptions!D59*Assumptions!E59/(Assumptions!B13*12))</f>
        <v/>
      </c>
      <c r="BJ43" s="156">
        <f>IF('Add-On 9'!BJ4=0,0,Assumptions!C59*Assumptions!D59*Assumptions!E59/(Assumptions!B13*12))</f>
        <v/>
      </c>
      <c r="BL43" s="157">
        <f>C43+D43+E43+F43+G43+H43+I43+J43+K43+L43+M43+N43</f>
        <v/>
      </c>
      <c r="BM43" s="157">
        <f>O43+P43+Q43+R43+S43+T43+U43+V43+W43+X43+Y43+Z43</f>
        <v/>
      </c>
      <c r="BN43" s="157">
        <f>AA43+AB43+AC43+AD43+AE43+AF43+AG43+AH43+AI43+AJ43+AK43+AL43</f>
        <v/>
      </c>
      <c r="BO43" s="157">
        <f>AM43+AN43+AO43+AP43+AQ43+AR43+AS43+AT43+AU43+AV43+AW43+AX43</f>
        <v/>
      </c>
      <c r="BP43" s="157">
        <f>AY43+AZ43+BA43+BB43+BC43+BD43+BE43+BF43+BG43+BH43+BI43+BJ43</f>
        <v/>
      </c>
    </row>
    <row r="44" ht="15" customHeight="1" s="104">
      <c r="A44" s="116" t="inlineStr">
        <is>
          <t xml:space="preserve">    Add-On 9 – Total D&amp;A</t>
        </is>
      </c>
      <c r="C44" s="151">
        <f>C42+C43</f>
        <v/>
      </c>
      <c r="D44" s="151">
        <f>D42+D43</f>
        <v/>
      </c>
      <c r="E44" s="151">
        <f>E42+E43</f>
        <v/>
      </c>
      <c r="F44" s="151">
        <f>F42+F43</f>
        <v/>
      </c>
      <c r="G44" s="151">
        <f>G42+G43</f>
        <v/>
      </c>
      <c r="H44" s="151">
        <f>H42+H43</f>
        <v/>
      </c>
      <c r="I44" s="151">
        <f>I42+I43</f>
        <v/>
      </c>
      <c r="J44" s="151">
        <f>J42+J43</f>
        <v/>
      </c>
      <c r="K44" s="151">
        <f>K42+K43</f>
        <v/>
      </c>
      <c r="L44" s="151">
        <f>L42+L43</f>
        <v/>
      </c>
      <c r="M44" s="151">
        <f>M42+M43</f>
        <v/>
      </c>
      <c r="N44" s="151">
        <f>N42+N43</f>
        <v/>
      </c>
      <c r="O44" s="151">
        <f>O42+O43</f>
        <v/>
      </c>
      <c r="P44" s="151">
        <f>P42+P43</f>
        <v/>
      </c>
      <c r="Q44" s="151">
        <f>Q42+Q43</f>
        <v/>
      </c>
      <c r="R44" s="151">
        <f>R42+R43</f>
        <v/>
      </c>
      <c r="S44" s="151">
        <f>S42+S43</f>
        <v/>
      </c>
      <c r="T44" s="151">
        <f>T42+T43</f>
        <v/>
      </c>
      <c r="U44" s="151">
        <f>U42+U43</f>
        <v/>
      </c>
      <c r="V44" s="151">
        <f>V42+V43</f>
        <v/>
      </c>
      <c r="W44" s="151">
        <f>W42+W43</f>
        <v/>
      </c>
      <c r="X44" s="151">
        <f>X42+X43</f>
        <v/>
      </c>
      <c r="Y44" s="151">
        <f>Y42+Y43</f>
        <v/>
      </c>
      <c r="Z44" s="151">
        <f>Z42+Z43</f>
        <v/>
      </c>
      <c r="AA44" s="151">
        <f>AA42+AA43</f>
        <v/>
      </c>
      <c r="AB44" s="151">
        <f>AB42+AB43</f>
        <v/>
      </c>
      <c r="AC44" s="151">
        <f>AC42+AC43</f>
        <v/>
      </c>
      <c r="AD44" s="151">
        <f>AD42+AD43</f>
        <v/>
      </c>
      <c r="AE44" s="151">
        <f>AE42+AE43</f>
        <v/>
      </c>
      <c r="AF44" s="151">
        <f>AF42+AF43</f>
        <v/>
      </c>
      <c r="AG44" s="151">
        <f>AG42+AG43</f>
        <v/>
      </c>
      <c r="AH44" s="151">
        <f>AH42+AH43</f>
        <v/>
      </c>
      <c r="AI44" s="151">
        <f>AI42+AI43</f>
        <v/>
      </c>
      <c r="AJ44" s="151">
        <f>AJ42+AJ43</f>
        <v/>
      </c>
      <c r="AK44" s="151">
        <f>AK42+AK43</f>
        <v/>
      </c>
      <c r="AL44" s="151">
        <f>AL42+AL43</f>
        <v/>
      </c>
      <c r="AM44" s="151">
        <f>AM42+AM43</f>
        <v/>
      </c>
      <c r="AN44" s="151">
        <f>AN42+AN43</f>
        <v/>
      </c>
      <c r="AO44" s="151">
        <f>AO42+AO43</f>
        <v/>
      </c>
      <c r="AP44" s="151">
        <f>AP42+AP43</f>
        <v/>
      </c>
      <c r="AQ44" s="151">
        <f>AQ42+AQ43</f>
        <v/>
      </c>
      <c r="AR44" s="151">
        <f>AR42+AR43</f>
        <v/>
      </c>
      <c r="AS44" s="151">
        <f>AS42+AS43</f>
        <v/>
      </c>
      <c r="AT44" s="151">
        <f>AT42+AT43</f>
        <v/>
      </c>
      <c r="AU44" s="151">
        <f>AU42+AU43</f>
        <v/>
      </c>
      <c r="AV44" s="151">
        <f>AV42+AV43</f>
        <v/>
      </c>
      <c r="AW44" s="151">
        <f>AW42+AW43</f>
        <v/>
      </c>
      <c r="AX44" s="151">
        <f>AX42+AX43</f>
        <v/>
      </c>
      <c r="AY44" s="151">
        <f>AY42+AY43</f>
        <v/>
      </c>
      <c r="AZ44" s="151">
        <f>AZ42+AZ43</f>
        <v/>
      </c>
      <c r="BA44" s="151">
        <f>BA42+BA43</f>
        <v/>
      </c>
      <c r="BB44" s="151">
        <f>BB42+BB43</f>
        <v/>
      </c>
      <c r="BC44" s="151">
        <f>BC42+BC43</f>
        <v/>
      </c>
      <c r="BD44" s="151">
        <f>BD42+BD43</f>
        <v/>
      </c>
      <c r="BE44" s="151">
        <f>BE42+BE43</f>
        <v/>
      </c>
      <c r="BF44" s="151">
        <f>BF42+BF43</f>
        <v/>
      </c>
      <c r="BG44" s="151">
        <f>BG42+BG43</f>
        <v/>
      </c>
      <c r="BH44" s="151">
        <f>BH42+BH43</f>
        <v/>
      </c>
      <c r="BI44" s="151">
        <f>BI42+BI43</f>
        <v/>
      </c>
      <c r="BJ44" s="151">
        <f>BJ42+BJ43</f>
        <v/>
      </c>
      <c r="BL44" s="152">
        <f>C44+D44+E44+F44+G44+H44+I44+J44+K44+L44+M44+N44</f>
        <v/>
      </c>
      <c r="BM44" s="152">
        <f>O44+P44+Q44+R44+S44+T44+U44+V44+W44+X44+Y44+Z44</f>
        <v/>
      </c>
      <c r="BN44" s="152">
        <f>AA44+AB44+AC44+AD44+AE44+AF44+AG44+AH44+AI44+AJ44+AK44+AL44</f>
        <v/>
      </c>
      <c r="BO44" s="152">
        <f>AM44+AN44+AO44+AP44+AQ44+AR44+AS44+AT44+AU44+AV44+AW44+AX44</f>
        <v/>
      </c>
      <c r="BP44" s="152">
        <f>AY44+AZ44+BA44+BB44+BC44+BD44+BE44+BF44+BG44+BH44+BI44+BJ44</f>
        <v/>
      </c>
    </row>
    <row r="45" ht="15" customHeight="1" s="104">
      <c r="A45" s="106" t="inlineStr">
        <is>
          <t>ADD-ON 10</t>
        </is>
      </c>
    </row>
    <row r="46" ht="15" customHeight="1" s="104">
      <c r="A46" s="107" t="inlineStr">
        <is>
          <t xml:space="preserve">    Add-On 10 – PP&amp;E D&amp;A</t>
        </is>
      </c>
      <c r="C46" s="156">
        <f>'Add-On 10'!C6*Assumptions!B38</f>
        <v/>
      </c>
      <c r="D46" s="156">
        <f>'Add-On 10'!D6*Assumptions!B38</f>
        <v/>
      </c>
      <c r="E46" s="156">
        <f>'Add-On 10'!E6*Assumptions!B38</f>
        <v/>
      </c>
      <c r="F46" s="156">
        <f>'Add-On 10'!F6*Assumptions!B38</f>
        <v/>
      </c>
      <c r="G46" s="156">
        <f>'Add-On 10'!G6*Assumptions!B38</f>
        <v/>
      </c>
      <c r="H46" s="156">
        <f>'Add-On 10'!H6*Assumptions!B38</f>
        <v/>
      </c>
      <c r="I46" s="156">
        <f>'Add-On 10'!I6*Assumptions!B38</f>
        <v/>
      </c>
      <c r="J46" s="156">
        <f>'Add-On 10'!J6*Assumptions!B38</f>
        <v/>
      </c>
      <c r="K46" s="156">
        <f>'Add-On 10'!K6*Assumptions!B38</f>
        <v/>
      </c>
      <c r="L46" s="156">
        <f>'Add-On 10'!L6*Assumptions!B38</f>
        <v/>
      </c>
      <c r="M46" s="156">
        <f>'Add-On 10'!M6*Assumptions!B38</f>
        <v/>
      </c>
      <c r="N46" s="156">
        <f>'Add-On 10'!N6*Assumptions!B38</f>
        <v/>
      </c>
      <c r="O46" s="156">
        <f>'Add-On 10'!O6*Assumptions!B38</f>
        <v/>
      </c>
      <c r="P46" s="156">
        <f>'Add-On 10'!P6*Assumptions!B38</f>
        <v/>
      </c>
      <c r="Q46" s="156">
        <f>'Add-On 10'!Q6*Assumptions!B38</f>
        <v/>
      </c>
      <c r="R46" s="156">
        <f>'Add-On 10'!R6*Assumptions!B38</f>
        <v/>
      </c>
      <c r="S46" s="156">
        <f>'Add-On 10'!S6*Assumptions!B38</f>
        <v/>
      </c>
      <c r="T46" s="156">
        <f>'Add-On 10'!T6*Assumptions!B38</f>
        <v/>
      </c>
      <c r="U46" s="156">
        <f>'Add-On 10'!U6*Assumptions!B38</f>
        <v/>
      </c>
      <c r="V46" s="156">
        <f>'Add-On 10'!V6*Assumptions!B38</f>
        <v/>
      </c>
      <c r="W46" s="156">
        <f>'Add-On 10'!W6*Assumptions!B38</f>
        <v/>
      </c>
      <c r="X46" s="156">
        <f>'Add-On 10'!X6*Assumptions!B38</f>
        <v/>
      </c>
      <c r="Y46" s="156">
        <f>'Add-On 10'!Y6*Assumptions!B38</f>
        <v/>
      </c>
      <c r="Z46" s="156">
        <f>'Add-On 10'!Z6*Assumptions!B38</f>
        <v/>
      </c>
      <c r="AA46" s="156">
        <f>'Add-On 10'!AA6*Assumptions!B38</f>
        <v/>
      </c>
      <c r="AB46" s="156">
        <f>'Add-On 10'!AB6*Assumptions!B38</f>
        <v/>
      </c>
      <c r="AC46" s="156">
        <f>'Add-On 10'!AC6*Assumptions!B38</f>
        <v/>
      </c>
      <c r="AD46" s="156">
        <f>'Add-On 10'!AD6*Assumptions!B38</f>
        <v/>
      </c>
      <c r="AE46" s="156">
        <f>'Add-On 10'!AE6*Assumptions!B38</f>
        <v/>
      </c>
      <c r="AF46" s="156">
        <f>'Add-On 10'!AF6*Assumptions!B38</f>
        <v/>
      </c>
      <c r="AG46" s="156">
        <f>'Add-On 10'!AG6*Assumptions!B38</f>
        <v/>
      </c>
      <c r="AH46" s="156">
        <f>'Add-On 10'!AH6*Assumptions!B38</f>
        <v/>
      </c>
      <c r="AI46" s="156">
        <f>'Add-On 10'!AI6*Assumptions!B38</f>
        <v/>
      </c>
      <c r="AJ46" s="156">
        <f>'Add-On 10'!AJ6*Assumptions!B38</f>
        <v/>
      </c>
      <c r="AK46" s="156">
        <f>'Add-On 10'!AK6*Assumptions!B38</f>
        <v/>
      </c>
      <c r="AL46" s="156">
        <f>'Add-On 10'!AL6*Assumptions!B38</f>
        <v/>
      </c>
      <c r="AM46" s="156">
        <f>'Add-On 10'!AM6*Assumptions!B38</f>
        <v/>
      </c>
      <c r="AN46" s="156">
        <f>'Add-On 10'!AN6*Assumptions!B38</f>
        <v/>
      </c>
      <c r="AO46" s="156">
        <f>'Add-On 10'!AO6*Assumptions!B38</f>
        <v/>
      </c>
      <c r="AP46" s="156">
        <f>'Add-On 10'!AP6*Assumptions!B38</f>
        <v/>
      </c>
      <c r="AQ46" s="156">
        <f>'Add-On 10'!AQ6*Assumptions!B38</f>
        <v/>
      </c>
      <c r="AR46" s="156">
        <f>'Add-On 10'!AR6*Assumptions!B38</f>
        <v/>
      </c>
      <c r="AS46" s="156">
        <f>'Add-On 10'!AS6*Assumptions!B38</f>
        <v/>
      </c>
      <c r="AT46" s="156">
        <f>'Add-On 10'!AT6*Assumptions!B38</f>
        <v/>
      </c>
      <c r="AU46" s="156">
        <f>'Add-On 10'!AU6*Assumptions!B38</f>
        <v/>
      </c>
      <c r="AV46" s="156">
        <f>'Add-On 10'!AV6*Assumptions!B38</f>
        <v/>
      </c>
      <c r="AW46" s="156">
        <f>'Add-On 10'!AW6*Assumptions!B38</f>
        <v/>
      </c>
      <c r="AX46" s="156">
        <f>'Add-On 10'!AX6*Assumptions!B38</f>
        <v/>
      </c>
      <c r="AY46" s="156">
        <f>'Add-On 10'!AY6*Assumptions!B38</f>
        <v/>
      </c>
      <c r="AZ46" s="156">
        <f>'Add-On 10'!AZ6*Assumptions!B38</f>
        <v/>
      </c>
      <c r="BA46" s="156">
        <f>'Add-On 10'!BA6*Assumptions!B38</f>
        <v/>
      </c>
      <c r="BB46" s="156">
        <f>'Add-On 10'!BB6*Assumptions!B38</f>
        <v/>
      </c>
      <c r="BC46" s="156">
        <f>'Add-On 10'!BC6*Assumptions!B38</f>
        <v/>
      </c>
      <c r="BD46" s="156">
        <f>'Add-On 10'!BD6*Assumptions!B38</f>
        <v/>
      </c>
      <c r="BE46" s="156">
        <f>'Add-On 10'!BE6*Assumptions!B38</f>
        <v/>
      </c>
      <c r="BF46" s="156">
        <f>'Add-On 10'!BF6*Assumptions!B38</f>
        <v/>
      </c>
      <c r="BG46" s="156">
        <f>'Add-On 10'!BG6*Assumptions!B38</f>
        <v/>
      </c>
      <c r="BH46" s="156">
        <f>'Add-On 10'!BH6*Assumptions!B38</f>
        <v/>
      </c>
      <c r="BI46" s="156">
        <f>'Add-On 10'!BI6*Assumptions!B38</f>
        <v/>
      </c>
      <c r="BJ46" s="156">
        <f>'Add-On 10'!BJ6*Assumptions!B38</f>
        <v/>
      </c>
      <c r="BL46" s="157">
        <f>C46+D46+E46+F46+G46+H46+I46+J46+K46+L46+M46+N46</f>
        <v/>
      </c>
      <c r="BM46" s="157">
        <f>O46+P46+Q46+R46+S46+T46+U46+V46+W46+X46+Y46+Z46</f>
        <v/>
      </c>
      <c r="BN46" s="157">
        <f>AA46+AB46+AC46+AD46+AE46+AF46+AG46+AH46+AI46+AJ46+AK46+AL46</f>
        <v/>
      </c>
      <c r="BO46" s="157">
        <f>AM46+AN46+AO46+AP46+AQ46+AR46+AS46+AT46+AU46+AV46+AW46+AX46</f>
        <v/>
      </c>
      <c r="BP46" s="157">
        <f>AY46+AZ46+BA46+BB46+BC46+BD46+BE46+BF46+BG46+BH46+BI46+BJ46</f>
        <v/>
      </c>
    </row>
    <row r="47" ht="15" customHeight="1" s="104">
      <c r="A47" s="107" t="inlineStr">
        <is>
          <t xml:space="preserve">    Add-On 10 – Goodwill Amort (§197)</t>
        </is>
      </c>
      <c r="C47" s="156">
        <f>IF('Add-On 10'!C4=0,0,Assumptions!C60*Assumptions!D60*Assumptions!E60/(Assumptions!B13*12))</f>
        <v/>
      </c>
      <c r="D47" s="156">
        <f>IF('Add-On 10'!D4=0,0,Assumptions!C60*Assumptions!D60*Assumptions!E60/(Assumptions!B13*12))</f>
        <v/>
      </c>
      <c r="E47" s="156">
        <f>IF('Add-On 10'!E4=0,0,Assumptions!C60*Assumptions!D60*Assumptions!E60/(Assumptions!B13*12))</f>
        <v/>
      </c>
      <c r="F47" s="156">
        <f>IF('Add-On 10'!F4=0,0,Assumptions!C60*Assumptions!D60*Assumptions!E60/(Assumptions!B13*12))</f>
        <v/>
      </c>
      <c r="G47" s="156">
        <f>IF('Add-On 10'!G4=0,0,Assumptions!C60*Assumptions!D60*Assumptions!E60/(Assumptions!B13*12))</f>
        <v/>
      </c>
      <c r="H47" s="156">
        <f>IF('Add-On 10'!H4=0,0,Assumptions!C60*Assumptions!D60*Assumptions!E60/(Assumptions!B13*12))</f>
        <v/>
      </c>
      <c r="I47" s="156">
        <f>IF('Add-On 10'!I4=0,0,Assumptions!C60*Assumptions!D60*Assumptions!E60/(Assumptions!B13*12))</f>
        <v/>
      </c>
      <c r="J47" s="156">
        <f>IF('Add-On 10'!J4=0,0,Assumptions!C60*Assumptions!D60*Assumptions!E60/(Assumptions!B13*12))</f>
        <v/>
      </c>
      <c r="K47" s="156">
        <f>IF('Add-On 10'!K4=0,0,Assumptions!C60*Assumptions!D60*Assumptions!E60/(Assumptions!B13*12))</f>
        <v/>
      </c>
      <c r="L47" s="156">
        <f>IF('Add-On 10'!L4=0,0,Assumptions!C60*Assumptions!D60*Assumptions!E60/(Assumptions!B13*12))</f>
        <v/>
      </c>
      <c r="M47" s="156">
        <f>IF('Add-On 10'!M4=0,0,Assumptions!C60*Assumptions!D60*Assumptions!E60/(Assumptions!B13*12))</f>
        <v/>
      </c>
      <c r="N47" s="156">
        <f>IF('Add-On 10'!N4=0,0,Assumptions!C60*Assumptions!D60*Assumptions!E60/(Assumptions!B13*12))</f>
        <v/>
      </c>
      <c r="O47" s="156">
        <f>IF('Add-On 10'!O4=0,0,Assumptions!C60*Assumptions!D60*Assumptions!E60/(Assumptions!B13*12))</f>
        <v/>
      </c>
      <c r="P47" s="156">
        <f>IF('Add-On 10'!P4=0,0,Assumptions!C60*Assumptions!D60*Assumptions!E60/(Assumptions!B13*12))</f>
        <v/>
      </c>
      <c r="Q47" s="156">
        <f>IF('Add-On 10'!Q4=0,0,Assumptions!C60*Assumptions!D60*Assumptions!E60/(Assumptions!B13*12))</f>
        <v/>
      </c>
      <c r="R47" s="156">
        <f>IF('Add-On 10'!R4=0,0,Assumptions!C60*Assumptions!D60*Assumptions!E60/(Assumptions!B13*12))</f>
        <v/>
      </c>
      <c r="S47" s="156">
        <f>IF('Add-On 10'!S4=0,0,Assumptions!C60*Assumptions!D60*Assumptions!E60/(Assumptions!B13*12))</f>
        <v/>
      </c>
      <c r="T47" s="156">
        <f>IF('Add-On 10'!T4=0,0,Assumptions!C60*Assumptions!D60*Assumptions!E60/(Assumptions!B13*12))</f>
        <v/>
      </c>
      <c r="U47" s="156">
        <f>IF('Add-On 10'!U4=0,0,Assumptions!C60*Assumptions!D60*Assumptions!E60/(Assumptions!B13*12))</f>
        <v/>
      </c>
      <c r="V47" s="156">
        <f>IF('Add-On 10'!V4=0,0,Assumptions!C60*Assumptions!D60*Assumptions!E60/(Assumptions!B13*12))</f>
        <v/>
      </c>
      <c r="W47" s="156">
        <f>IF('Add-On 10'!W4=0,0,Assumptions!C60*Assumptions!D60*Assumptions!E60/(Assumptions!B13*12))</f>
        <v/>
      </c>
      <c r="X47" s="156">
        <f>IF('Add-On 10'!X4=0,0,Assumptions!C60*Assumptions!D60*Assumptions!E60/(Assumptions!B13*12))</f>
        <v/>
      </c>
      <c r="Y47" s="156">
        <f>IF('Add-On 10'!Y4=0,0,Assumptions!C60*Assumptions!D60*Assumptions!E60/(Assumptions!B13*12))</f>
        <v/>
      </c>
      <c r="Z47" s="156">
        <f>IF('Add-On 10'!Z4=0,0,Assumptions!C60*Assumptions!D60*Assumptions!E60/(Assumptions!B13*12))</f>
        <v/>
      </c>
      <c r="AA47" s="156">
        <f>IF('Add-On 10'!AA4=0,0,Assumptions!C60*Assumptions!D60*Assumptions!E60/(Assumptions!B13*12))</f>
        <v/>
      </c>
      <c r="AB47" s="156">
        <f>IF('Add-On 10'!AB4=0,0,Assumptions!C60*Assumptions!D60*Assumptions!E60/(Assumptions!B13*12))</f>
        <v/>
      </c>
      <c r="AC47" s="156">
        <f>IF('Add-On 10'!AC4=0,0,Assumptions!C60*Assumptions!D60*Assumptions!E60/(Assumptions!B13*12))</f>
        <v/>
      </c>
      <c r="AD47" s="156">
        <f>IF('Add-On 10'!AD4=0,0,Assumptions!C60*Assumptions!D60*Assumptions!E60/(Assumptions!B13*12))</f>
        <v/>
      </c>
      <c r="AE47" s="156">
        <f>IF('Add-On 10'!AE4=0,0,Assumptions!C60*Assumptions!D60*Assumptions!E60/(Assumptions!B13*12))</f>
        <v/>
      </c>
      <c r="AF47" s="156">
        <f>IF('Add-On 10'!AF4=0,0,Assumptions!C60*Assumptions!D60*Assumptions!E60/(Assumptions!B13*12))</f>
        <v/>
      </c>
      <c r="AG47" s="156">
        <f>IF('Add-On 10'!AG4=0,0,Assumptions!C60*Assumptions!D60*Assumptions!E60/(Assumptions!B13*12))</f>
        <v/>
      </c>
      <c r="AH47" s="156">
        <f>IF('Add-On 10'!AH4=0,0,Assumptions!C60*Assumptions!D60*Assumptions!E60/(Assumptions!B13*12))</f>
        <v/>
      </c>
      <c r="AI47" s="156">
        <f>IF('Add-On 10'!AI4=0,0,Assumptions!C60*Assumptions!D60*Assumptions!E60/(Assumptions!B13*12))</f>
        <v/>
      </c>
      <c r="AJ47" s="156">
        <f>IF('Add-On 10'!AJ4=0,0,Assumptions!C60*Assumptions!D60*Assumptions!E60/(Assumptions!B13*12))</f>
        <v/>
      </c>
      <c r="AK47" s="156">
        <f>IF('Add-On 10'!AK4=0,0,Assumptions!C60*Assumptions!D60*Assumptions!E60/(Assumptions!B13*12))</f>
        <v/>
      </c>
      <c r="AL47" s="156">
        <f>IF('Add-On 10'!AL4=0,0,Assumptions!C60*Assumptions!D60*Assumptions!E60/(Assumptions!B13*12))</f>
        <v/>
      </c>
      <c r="AM47" s="156">
        <f>IF('Add-On 10'!AM4=0,0,Assumptions!C60*Assumptions!D60*Assumptions!E60/(Assumptions!B13*12))</f>
        <v/>
      </c>
      <c r="AN47" s="156">
        <f>IF('Add-On 10'!AN4=0,0,Assumptions!C60*Assumptions!D60*Assumptions!E60/(Assumptions!B13*12))</f>
        <v/>
      </c>
      <c r="AO47" s="156">
        <f>IF('Add-On 10'!AO4=0,0,Assumptions!C60*Assumptions!D60*Assumptions!E60/(Assumptions!B13*12))</f>
        <v/>
      </c>
      <c r="AP47" s="156">
        <f>IF('Add-On 10'!AP4=0,0,Assumptions!C60*Assumptions!D60*Assumptions!E60/(Assumptions!B13*12))</f>
        <v/>
      </c>
      <c r="AQ47" s="156">
        <f>IF('Add-On 10'!AQ4=0,0,Assumptions!C60*Assumptions!D60*Assumptions!E60/(Assumptions!B13*12))</f>
        <v/>
      </c>
      <c r="AR47" s="156">
        <f>IF('Add-On 10'!AR4=0,0,Assumptions!C60*Assumptions!D60*Assumptions!E60/(Assumptions!B13*12))</f>
        <v/>
      </c>
      <c r="AS47" s="156">
        <f>IF('Add-On 10'!AS4=0,0,Assumptions!C60*Assumptions!D60*Assumptions!E60/(Assumptions!B13*12))</f>
        <v/>
      </c>
      <c r="AT47" s="156">
        <f>IF('Add-On 10'!AT4=0,0,Assumptions!C60*Assumptions!D60*Assumptions!E60/(Assumptions!B13*12))</f>
        <v/>
      </c>
      <c r="AU47" s="156">
        <f>IF('Add-On 10'!AU4=0,0,Assumptions!C60*Assumptions!D60*Assumptions!E60/(Assumptions!B13*12))</f>
        <v/>
      </c>
      <c r="AV47" s="156">
        <f>IF('Add-On 10'!AV4=0,0,Assumptions!C60*Assumptions!D60*Assumptions!E60/(Assumptions!B13*12))</f>
        <v/>
      </c>
      <c r="AW47" s="156">
        <f>IF('Add-On 10'!AW4=0,0,Assumptions!C60*Assumptions!D60*Assumptions!E60/(Assumptions!B13*12))</f>
        <v/>
      </c>
      <c r="AX47" s="156">
        <f>IF('Add-On 10'!AX4=0,0,Assumptions!C60*Assumptions!D60*Assumptions!E60/(Assumptions!B13*12))</f>
        <v/>
      </c>
      <c r="AY47" s="156">
        <f>IF('Add-On 10'!AY4=0,0,Assumptions!C60*Assumptions!D60*Assumptions!E60/(Assumptions!B13*12))</f>
        <v/>
      </c>
      <c r="AZ47" s="156">
        <f>IF('Add-On 10'!AZ4=0,0,Assumptions!C60*Assumptions!D60*Assumptions!E60/(Assumptions!B13*12))</f>
        <v/>
      </c>
      <c r="BA47" s="156">
        <f>IF('Add-On 10'!BA4=0,0,Assumptions!C60*Assumptions!D60*Assumptions!E60/(Assumptions!B13*12))</f>
        <v/>
      </c>
      <c r="BB47" s="156">
        <f>IF('Add-On 10'!BB4=0,0,Assumptions!C60*Assumptions!D60*Assumptions!E60/(Assumptions!B13*12))</f>
        <v/>
      </c>
      <c r="BC47" s="156">
        <f>IF('Add-On 10'!BC4=0,0,Assumptions!C60*Assumptions!D60*Assumptions!E60/(Assumptions!B13*12))</f>
        <v/>
      </c>
      <c r="BD47" s="156">
        <f>IF('Add-On 10'!BD4=0,0,Assumptions!C60*Assumptions!D60*Assumptions!E60/(Assumptions!B13*12))</f>
        <v/>
      </c>
      <c r="BE47" s="156">
        <f>IF('Add-On 10'!BE4=0,0,Assumptions!C60*Assumptions!D60*Assumptions!E60/(Assumptions!B13*12))</f>
        <v/>
      </c>
      <c r="BF47" s="156">
        <f>IF('Add-On 10'!BF4=0,0,Assumptions!C60*Assumptions!D60*Assumptions!E60/(Assumptions!B13*12))</f>
        <v/>
      </c>
      <c r="BG47" s="156">
        <f>IF('Add-On 10'!BG4=0,0,Assumptions!C60*Assumptions!D60*Assumptions!E60/(Assumptions!B13*12))</f>
        <v/>
      </c>
      <c r="BH47" s="156">
        <f>IF('Add-On 10'!BH4=0,0,Assumptions!C60*Assumptions!D60*Assumptions!E60/(Assumptions!B13*12))</f>
        <v/>
      </c>
      <c r="BI47" s="156">
        <f>IF('Add-On 10'!BI4=0,0,Assumptions!C60*Assumptions!D60*Assumptions!E60/(Assumptions!B13*12))</f>
        <v/>
      </c>
      <c r="BJ47" s="156">
        <f>IF('Add-On 10'!BJ4=0,0,Assumptions!C60*Assumptions!D60*Assumptions!E60/(Assumptions!B13*12))</f>
        <v/>
      </c>
      <c r="BL47" s="157">
        <f>C47+D47+E47+F47+G47+H47+I47+J47+K47+L47+M47+N47</f>
        <v/>
      </c>
      <c r="BM47" s="157">
        <f>O47+P47+Q47+R47+S47+T47+U47+V47+W47+X47+Y47+Z47</f>
        <v/>
      </c>
      <c r="BN47" s="157">
        <f>AA47+AB47+AC47+AD47+AE47+AF47+AG47+AH47+AI47+AJ47+AK47+AL47</f>
        <v/>
      </c>
      <c r="BO47" s="157">
        <f>AM47+AN47+AO47+AP47+AQ47+AR47+AS47+AT47+AU47+AV47+AW47+AX47</f>
        <v/>
      </c>
      <c r="BP47" s="157">
        <f>AY47+AZ47+BA47+BB47+BC47+BD47+BE47+BF47+BG47+BH47+BI47+BJ47</f>
        <v/>
      </c>
    </row>
    <row r="48" ht="15" customHeight="1" s="104">
      <c r="A48" s="116" t="inlineStr">
        <is>
          <t xml:space="preserve">    Add-On 10 – Total D&amp;A</t>
        </is>
      </c>
      <c r="C48" s="151">
        <f>C46+C47</f>
        <v/>
      </c>
      <c r="D48" s="151">
        <f>D46+D47</f>
        <v/>
      </c>
      <c r="E48" s="151">
        <f>E46+E47</f>
        <v/>
      </c>
      <c r="F48" s="151">
        <f>F46+F47</f>
        <v/>
      </c>
      <c r="G48" s="151">
        <f>G46+G47</f>
        <v/>
      </c>
      <c r="H48" s="151">
        <f>H46+H47</f>
        <v/>
      </c>
      <c r="I48" s="151">
        <f>I46+I47</f>
        <v/>
      </c>
      <c r="J48" s="151">
        <f>J46+J47</f>
        <v/>
      </c>
      <c r="K48" s="151">
        <f>K46+K47</f>
        <v/>
      </c>
      <c r="L48" s="151">
        <f>L46+L47</f>
        <v/>
      </c>
      <c r="M48" s="151">
        <f>M46+M47</f>
        <v/>
      </c>
      <c r="N48" s="151">
        <f>N46+N47</f>
        <v/>
      </c>
      <c r="O48" s="151">
        <f>O46+O47</f>
        <v/>
      </c>
      <c r="P48" s="151">
        <f>P46+P47</f>
        <v/>
      </c>
      <c r="Q48" s="151">
        <f>Q46+Q47</f>
        <v/>
      </c>
      <c r="R48" s="151">
        <f>R46+R47</f>
        <v/>
      </c>
      <c r="S48" s="151">
        <f>S46+S47</f>
        <v/>
      </c>
      <c r="T48" s="151">
        <f>T46+T47</f>
        <v/>
      </c>
      <c r="U48" s="151">
        <f>U46+U47</f>
        <v/>
      </c>
      <c r="V48" s="151">
        <f>V46+V47</f>
        <v/>
      </c>
      <c r="W48" s="151">
        <f>W46+W47</f>
        <v/>
      </c>
      <c r="X48" s="151">
        <f>X46+X47</f>
        <v/>
      </c>
      <c r="Y48" s="151">
        <f>Y46+Y47</f>
        <v/>
      </c>
      <c r="Z48" s="151">
        <f>Z46+Z47</f>
        <v/>
      </c>
      <c r="AA48" s="151">
        <f>AA46+AA47</f>
        <v/>
      </c>
      <c r="AB48" s="151">
        <f>AB46+AB47</f>
        <v/>
      </c>
      <c r="AC48" s="151">
        <f>AC46+AC47</f>
        <v/>
      </c>
      <c r="AD48" s="151">
        <f>AD46+AD47</f>
        <v/>
      </c>
      <c r="AE48" s="151">
        <f>AE46+AE47</f>
        <v/>
      </c>
      <c r="AF48" s="151">
        <f>AF46+AF47</f>
        <v/>
      </c>
      <c r="AG48" s="151">
        <f>AG46+AG47</f>
        <v/>
      </c>
      <c r="AH48" s="151">
        <f>AH46+AH47</f>
        <v/>
      </c>
      <c r="AI48" s="151">
        <f>AI46+AI47</f>
        <v/>
      </c>
      <c r="AJ48" s="151">
        <f>AJ46+AJ47</f>
        <v/>
      </c>
      <c r="AK48" s="151">
        <f>AK46+AK47</f>
        <v/>
      </c>
      <c r="AL48" s="151">
        <f>AL46+AL47</f>
        <v/>
      </c>
      <c r="AM48" s="151">
        <f>AM46+AM47</f>
        <v/>
      </c>
      <c r="AN48" s="151">
        <f>AN46+AN47</f>
        <v/>
      </c>
      <c r="AO48" s="151">
        <f>AO46+AO47</f>
        <v/>
      </c>
      <c r="AP48" s="151">
        <f>AP46+AP47</f>
        <v/>
      </c>
      <c r="AQ48" s="151">
        <f>AQ46+AQ47</f>
        <v/>
      </c>
      <c r="AR48" s="151">
        <f>AR46+AR47</f>
        <v/>
      </c>
      <c r="AS48" s="151">
        <f>AS46+AS47</f>
        <v/>
      </c>
      <c r="AT48" s="151">
        <f>AT46+AT47</f>
        <v/>
      </c>
      <c r="AU48" s="151">
        <f>AU46+AU47</f>
        <v/>
      </c>
      <c r="AV48" s="151">
        <f>AV46+AV47</f>
        <v/>
      </c>
      <c r="AW48" s="151">
        <f>AW46+AW47</f>
        <v/>
      </c>
      <c r="AX48" s="151">
        <f>AX46+AX47</f>
        <v/>
      </c>
      <c r="AY48" s="151">
        <f>AY46+AY47</f>
        <v/>
      </c>
      <c r="AZ48" s="151">
        <f>AZ46+AZ47</f>
        <v/>
      </c>
      <c r="BA48" s="151">
        <f>BA46+BA47</f>
        <v/>
      </c>
      <c r="BB48" s="151">
        <f>BB46+BB47</f>
        <v/>
      </c>
      <c r="BC48" s="151">
        <f>BC46+BC47</f>
        <v/>
      </c>
      <c r="BD48" s="151">
        <f>BD46+BD47</f>
        <v/>
      </c>
      <c r="BE48" s="151">
        <f>BE46+BE47</f>
        <v/>
      </c>
      <c r="BF48" s="151">
        <f>BF46+BF47</f>
        <v/>
      </c>
      <c r="BG48" s="151">
        <f>BG46+BG47</f>
        <v/>
      </c>
      <c r="BH48" s="151">
        <f>BH46+BH47</f>
        <v/>
      </c>
      <c r="BI48" s="151">
        <f>BI46+BI47</f>
        <v/>
      </c>
      <c r="BJ48" s="151">
        <f>BJ46+BJ47</f>
        <v/>
      </c>
      <c r="BL48" s="152">
        <f>C48+D48+E48+F48+G48+H48+I48+J48+K48+L48+M48+N48</f>
        <v/>
      </c>
      <c r="BM48" s="152">
        <f>O48+P48+Q48+R48+S48+T48+U48+V48+W48+X48+Y48+Z48</f>
        <v/>
      </c>
      <c r="BN48" s="152">
        <f>AA48+AB48+AC48+AD48+AE48+AF48+AG48+AH48+AI48+AJ48+AK48+AL48</f>
        <v/>
      </c>
      <c r="BO48" s="152">
        <f>AM48+AN48+AO48+AP48+AQ48+AR48+AS48+AT48+AU48+AV48+AW48+AX48</f>
        <v/>
      </c>
      <c r="BP48" s="152">
        <f>AY48+AZ48+BA48+BB48+BC48+BD48+BE48+BF48+BG48+BH48+BI48+BJ48</f>
        <v/>
      </c>
    </row>
    <row r="49" ht="15" customHeight="1" s="104">
      <c r="A49" s="175" t="inlineStr">
        <is>
          <t>CONSOLIDATED TOTALS</t>
        </is>
      </c>
    </row>
    <row r="50" ht="15" customHeight="1" s="104">
      <c r="A50" s="116" t="inlineStr">
        <is>
          <t>Total PP&amp;E D&amp;A</t>
        </is>
      </c>
      <c r="C50" s="151">
        <f>C6+C10+C14+C18+C22+C26+C30+C34+C38+C42+C46</f>
        <v/>
      </c>
      <c r="D50" s="151">
        <f>D6+D10+D14+D18+D22+D26+D30+D34+D38+D42+D46</f>
        <v/>
      </c>
      <c r="E50" s="151">
        <f>E6+E10+E14+E18+E22+E26+E30+E34+E38+E42+E46</f>
        <v/>
      </c>
      <c r="F50" s="151">
        <f>F6+F10+F14+F18+F22+F26+F30+F34+F38+F42+F46</f>
        <v/>
      </c>
      <c r="G50" s="151">
        <f>G6+G10+G14+G18+G22+G26+G30+G34+G38+G42+G46</f>
        <v/>
      </c>
      <c r="H50" s="151">
        <f>H6+H10+H14+H18+H22+H26+H30+H34+H38+H42+H46</f>
        <v/>
      </c>
      <c r="I50" s="151">
        <f>I6+I10+I14+I18+I22+I26+I30+I34+I38+I42+I46</f>
        <v/>
      </c>
      <c r="J50" s="151">
        <f>J6+J10+J14+J18+J22+J26+J30+J34+J38+J42+J46</f>
        <v/>
      </c>
      <c r="K50" s="151">
        <f>K6+K10+K14+K18+K22+K26+K30+K34+K38+K42+K46</f>
        <v/>
      </c>
      <c r="L50" s="151">
        <f>L6+L10+L14+L18+L22+L26+L30+L34+L38+L42+L46</f>
        <v/>
      </c>
      <c r="M50" s="151">
        <f>M6+M10+M14+M18+M22+M26+M30+M34+M38+M42+M46</f>
        <v/>
      </c>
      <c r="N50" s="151">
        <f>N6+N10+N14+N18+N22+N26+N30+N34+N38+N42+N46</f>
        <v/>
      </c>
      <c r="O50" s="151">
        <f>O6+O10+O14+O18+O22+O26+O30+O34+O38+O42+O46</f>
        <v/>
      </c>
      <c r="P50" s="151">
        <f>P6+P10+P14+P18+P22+P26+P30+P34+P38+P42+P46</f>
        <v/>
      </c>
      <c r="Q50" s="151">
        <f>Q6+Q10+Q14+Q18+Q22+Q26+Q30+Q34+Q38+Q42+Q46</f>
        <v/>
      </c>
      <c r="R50" s="151">
        <f>R6+R10+R14+R18+R22+R26+R30+R34+R38+R42+R46</f>
        <v/>
      </c>
      <c r="S50" s="151">
        <f>S6+S10+S14+S18+S22+S26+S30+S34+S38+S42+S46</f>
        <v/>
      </c>
      <c r="T50" s="151">
        <f>T6+T10+T14+T18+T22+T26+T30+T34+T38+T42+T46</f>
        <v/>
      </c>
      <c r="U50" s="151">
        <f>U6+U10+U14+U18+U22+U26+U30+U34+U38+U42+U46</f>
        <v/>
      </c>
      <c r="V50" s="151">
        <f>V6+V10+V14+V18+V22+V26+V30+V34+V38+V42+V46</f>
        <v/>
      </c>
      <c r="W50" s="151">
        <f>W6+W10+W14+W18+W22+W26+W30+W34+W38+W42+W46</f>
        <v/>
      </c>
      <c r="X50" s="151">
        <f>X6+X10+X14+X18+X22+X26+X30+X34+X38+X42+X46</f>
        <v/>
      </c>
      <c r="Y50" s="151">
        <f>Y6+Y10+Y14+Y18+Y22+Y26+Y30+Y34+Y38+Y42+Y46</f>
        <v/>
      </c>
      <c r="Z50" s="151">
        <f>Z6+Z10+Z14+Z18+Z22+Z26+Z30+Z34+Z38+Z42+Z46</f>
        <v/>
      </c>
      <c r="AA50" s="151">
        <f>AA6+AA10+AA14+AA18+AA22+AA26+AA30+AA34+AA38+AA42+AA46</f>
        <v/>
      </c>
      <c r="AB50" s="151">
        <f>AB6+AB10+AB14+AB18+AB22+AB26+AB30+AB34+AB38+AB42+AB46</f>
        <v/>
      </c>
      <c r="AC50" s="151">
        <f>AC6+AC10+AC14+AC18+AC22+AC26+AC30+AC34+AC38+AC42+AC46</f>
        <v/>
      </c>
      <c r="AD50" s="151">
        <f>AD6+AD10+AD14+AD18+AD22+AD26+AD30+AD34+AD38+AD42+AD46</f>
        <v/>
      </c>
      <c r="AE50" s="151">
        <f>AE6+AE10+AE14+AE18+AE22+AE26+AE30+AE34+AE38+AE42+AE46</f>
        <v/>
      </c>
      <c r="AF50" s="151">
        <f>AF6+AF10+AF14+AF18+AF22+AF26+AF30+AF34+AF38+AF42+AF46</f>
        <v/>
      </c>
      <c r="AG50" s="151">
        <f>AG6+AG10+AG14+AG18+AG22+AG26+AG30+AG34+AG38+AG42+AG46</f>
        <v/>
      </c>
      <c r="AH50" s="151">
        <f>AH6+AH10+AH14+AH18+AH22+AH26+AH30+AH34+AH38+AH42+AH46</f>
        <v/>
      </c>
      <c r="AI50" s="151">
        <f>AI6+AI10+AI14+AI18+AI22+AI26+AI30+AI34+AI38+AI42+AI46</f>
        <v/>
      </c>
      <c r="AJ50" s="151">
        <f>AJ6+AJ10+AJ14+AJ18+AJ22+AJ26+AJ30+AJ34+AJ38+AJ42+AJ46</f>
        <v/>
      </c>
      <c r="AK50" s="151">
        <f>AK6+AK10+AK14+AK18+AK22+AK26+AK30+AK34+AK38+AK42+AK46</f>
        <v/>
      </c>
      <c r="AL50" s="151">
        <f>AL6+AL10+AL14+AL18+AL22+AL26+AL30+AL34+AL38+AL42+AL46</f>
        <v/>
      </c>
      <c r="AM50" s="151">
        <f>AM6+AM10+AM14+AM18+AM22+AM26+AM30+AM34+AM38+AM42+AM46</f>
        <v/>
      </c>
      <c r="AN50" s="151">
        <f>AN6+AN10+AN14+AN18+AN22+AN26+AN30+AN34+AN38+AN42+AN46</f>
        <v/>
      </c>
      <c r="AO50" s="151">
        <f>AO6+AO10+AO14+AO18+AO22+AO26+AO30+AO34+AO38+AO42+AO46</f>
        <v/>
      </c>
      <c r="AP50" s="151">
        <f>AP6+AP10+AP14+AP18+AP22+AP26+AP30+AP34+AP38+AP42+AP46</f>
        <v/>
      </c>
      <c r="AQ50" s="151">
        <f>AQ6+AQ10+AQ14+AQ18+AQ22+AQ26+AQ30+AQ34+AQ38+AQ42+AQ46</f>
        <v/>
      </c>
      <c r="AR50" s="151">
        <f>AR6+AR10+AR14+AR18+AR22+AR26+AR30+AR34+AR38+AR42+AR46</f>
        <v/>
      </c>
      <c r="AS50" s="151">
        <f>AS6+AS10+AS14+AS18+AS22+AS26+AS30+AS34+AS38+AS42+AS46</f>
        <v/>
      </c>
      <c r="AT50" s="151">
        <f>AT6+AT10+AT14+AT18+AT22+AT26+AT30+AT34+AT38+AT42+AT46</f>
        <v/>
      </c>
      <c r="AU50" s="151">
        <f>AU6+AU10+AU14+AU18+AU22+AU26+AU30+AU34+AU38+AU42+AU46</f>
        <v/>
      </c>
      <c r="AV50" s="151">
        <f>AV6+AV10+AV14+AV18+AV22+AV26+AV30+AV34+AV38+AV42+AV46</f>
        <v/>
      </c>
      <c r="AW50" s="151">
        <f>AW6+AW10+AW14+AW18+AW22+AW26+AW30+AW34+AW38+AW42+AW46</f>
        <v/>
      </c>
      <c r="AX50" s="151">
        <f>AX6+AX10+AX14+AX18+AX22+AX26+AX30+AX34+AX38+AX42+AX46</f>
        <v/>
      </c>
      <c r="AY50" s="151">
        <f>AY6+AY10+AY14+AY18+AY22+AY26+AY30+AY34+AY38+AY42+AY46</f>
        <v/>
      </c>
      <c r="AZ50" s="151">
        <f>AZ6+AZ10+AZ14+AZ18+AZ22+AZ26+AZ30+AZ34+AZ38+AZ42+AZ46</f>
        <v/>
      </c>
      <c r="BA50" s="151">
        <f>BA6+BA10+BA14+BA18+BA22+BA26+BA30+BA34+BA38+BA42+BA46</f>
        <v/>
      </c>
      <c r="BB50" s="151">
        <f>BB6+BB10+BB14+BB18+BB22+BB26+BB30+BB34+BB38+BB42+BB46</f>
        <v/>
      </c>
      <c r="BC50" s="151">
        <f>BC6+BC10+BC14+BC18+BC22+BC26+BC30+BC34+BC38+BC42+BC46</f>
        <v/>
      </c>
      <c r="BD50" s="151">
        <f>BD6+BD10+BD14+BD18+BD22+BD26+BD30+BD34+BD38+BD42+BD46</f>
        <v/>
      </c>
      <c r="BE50" s="151">
        <f>BE6+BE10+BE14+BE18+BE22+BE26+BE30+BE34+BE38+BE42+BE46</f>
        <v/>
      </c>
      <c r="BF50" s="151">
        <f>BF6+BF10+BF14+BF18+BF22+BF26+BF30+BF34+BF38+BF42+BF46</f>
        <v/>
      </c>
      <c r="BG50" s="151">
        <f>BG6+BG10+BG14+BG18+BG22+BG26+BG30+BG34+BG38+BG42+BG46</f>
        <v/>
      </c>
      <c r="BH50" s="151">
        <f>BH6+BH10+BH14+BH18+BH22+BH26+BH30+BH34+BH38+BH42+BH46</f>
        <v/>
      </c>
      <c r="BI50" s="151">
        <f>BI6+BI10+BI14+BI18+BI22+BI26+BI30+BI34+BI38+BI42+BI46</f>
        <v/>
      </c>
      <c r="BJ50" s="151">
        <f>BJ6+BJ10+BJ14+BJ18+BJ22+BJ26+BJ30+BJ34+BJ38+BJ42+BJ46</f>
        <v/>
      </c>
      <c r="BL50" s="152">
        <f>C50+D50+E50+F50+G50+H50+I50+J50+K50+L50+M50+N50</f>
        <v/>
      </c>
      <c r="BM50" s="152">
        <f>O50+P50+Q50+R50+S50+T50+U50+V50+W50+X50+Y50+Z50</f>
        <v/>
      </c>
      <c r="BN50" s="152">
        <f>AA50+AB50+AC50+AD50+AE50+AF50+AG50+AH50+AI50+AJ50+AK50+AL50</f>
        <v/>
      </c>
      <c r="BO50" s="152">
        <f>AM50+AN50+AO50+AP50+AQ50+AR50+AS50+AT50+AU50+AV50+AW50+AX50</f>
        <v/>
      </c>
      <c r="BP50" s="152">
        <f>AY50+AZ50+BA50+BB50+BC50+BD50+BE50+BF50+BG50+BH50+BI50+BJ50</f>
        <v/>
      </c>
    </row>
    <row r="51" ht="15" customHeight="1" s="104">
      <c r="A51" s="116" t="inlineStr">
        <is>
          <t>Total Goodwill Amortization</t>
        </is>
      </c>
      <c r="C51" s="151">
        <f>C7+C11+C15+C19+C23+C27+C31+C35+C39+C43+C47</f>
        <v/>
      </c>
      <c r="D51" s="151">
        <f>D7+D11+D15+D19+D23+D27+D31+D35+D39+D43+D47</f>
        <v/>
      </c>
      <c r="E51" s="151">
        <f>E7+E11+E15+E19+E23+E27+E31+E35+E39+E43+E47</f>
        <v/>
      </c>
      <c r="F51" s="151">
        <f>F7+F11+F15+F19+F23+F27+F31+F35+F39+F43+F47</f>
        <v/>
      </c>
      <c r="G51" s="151">
        <f>G7+G11+G15+G19+G23+G27+G31+G35+G39+G43+G47</f>
        <v/>
      </c>
      <c r="H51" s="151">
        <f>H7+H11+H15+H19+H23+H27+H31+H35+H39+H43+H47</f>
        <v/>
      </c>
      <c r="I51" s="151">
        <f>I7+I11+I15+I19+I23+I27+I31+I35+I39+I43+I47</f>
        <v/>
      </c>
      <c r="J51" s="151">
        <f>J7+J11+J15+J19+J23+J27+J31+J35+J39+J43+J47</f>
        <v/>
      </c>
      <c r="K51" s="151">
        <f>K7+K11+K15+K19+K23+K27+K31+K35+K39+K43+K47</f>
        <v/>
      </c>
      <c r="L51" s="151">
        <f>L7+L11+L15+L19+L23+L27+L31+L35+L39+L43+L47</f>
        <v/>
      </c>
      <c r="M51" s="151">
        <f>M7+M11+M15+M19+M23+M27+M31+M35+M39+M43+M47</f>
        <v/>
      </c>
      <c r="N51" s="151">
        <f>N7+N11+N15+N19+N23+N27+N31+N35+N39+N43+N47</f>
        <v/>
      </c>
      <c r="O51" s="151">
        <f>O7+O11+O15+O19+O23+O27+O31+O35+O39+O43+O47</f>
        <v/>
      </c>
      <c r="P51" s="151">
        <f>P7+P11+P15+P19+P23+P27+P31+P35+P39+P43+P47</f>
        <v/>
      </c>
      <c r="Q51" s="151">
        <f>Q7+Q11+Q15+Q19+Q23+Q27+Q31+Q35+Q39+Q43+Q47</f>
        <v/>
      </c>
      <c r="R51" s="151">
        <f>R7+R11+R15+R19+R23+R27+R31+R35+R39+R43+R47</f>
        <v/>
      </c>
      <c r="S51" s="151">
        <f>S7+S11+S15+S19+S23+S27+S31+S35+S39+S43+S47</f>
        <v/>
      </c>
      <c r="T51" s="151">
        <f>T7+T11+T15+T19+T23+T27+T31+T35+T39+T43+T47</f>
        <v/>
      </c>
      <c r="U51" s="151">
        <f>U7+U11+U15+U19+U23+U27+U31+U35+U39+U43+U47</f>
        <v/>
      </c>
      <c r="V51" s="151">
        <f>V7+V11+V15+V19+V23+V27+V31+V35+V39+V43+V47</f>
        <v/>
      </c>
      <c r="W51" s="151">
        <f>W7+W11+W15+W19+W23+W27+W31+W35+W39+W43+W47</f>
        <v/>
      </c>
      <c r="X51" s="151">
        <f>X7+X11+X15+X19+X23+X27+X31+X35+X39+X43+X47</f>
        <v/>
      </c>
      <c r="Y51" s="151">
        <f>Y7+Y11+Y15+Y19+Y23+Y27+Y31+Y35+Y39+Y43+Y47</f>
        <v/>
      </c>
      <c r="Z51" s="151">
        <f>Z7+Z11+Z15+Z19+Z23+Z27+Z31+Z35+Z39+Z43+Z47</f>
        <v/>
      </c>
      <c r="AA51" s="151">
        <f>AA7+AA11+AA15+AA19+AA23+AA27+AA31+AA35+AA39+AA43+AA47</f>
        <v/>
      </c>
      <c r="AB51" s="151">
        <f>AB7+AB11+AB15+AB19+AB23+AB27+AB31+AB35+AB39+AB43+AB47</f>
        <v/>
      </c>
      <c r="AC51" s="151">
        <f>AC7+AC11+AC15+AC19+AC23+AC27+AC31+AC35+AC39+AC43+AC47</f>
        <v/>
      </c>
      <c r="AD51" s="151">
        <f>AD7+AD11+AD15+AD19+AD23+AD27+AD31+AD35+AD39+AD43+AD47</f>
        <v/>
      </c>
      <c r="AE51" s="151">
        <f>AE7+AE11+AE15+AE19+AE23+AE27+AE31+AE35+AE39+AE43+AE47</f>
        <v/>
      </c>
      <c r="AF51" s="151">
        <f>AF7+AF11+AF15+AF19+AF23+AF27+AF31+AF35+AF39+AF43+AF47</f>
        <v/>
      </c>
      <c r="AG51" s="151">
        <f>AG7+AG11+AG15+AG19+AG23+AG27+AG31+AG35+AG39+AG43+AG47</f>
        <v/>
      </c>
      <c r="AH51" s="151">
        <f>AH7+AH11+AH15+AH19+AH23+AH27+AH31+AH35+AH39+AH43+AH47</f>
        <v/>
      </c>
      <c r="AI51" s="151">
        <f>AI7+AI11+AI15+AI19+AI23+AI27+AI31+AI35+AI39+AI43+AI47</f>
        <v/>
      </c>
      <c r="AJ51" s="151">
        <f>AJ7+AJ11+AJ15+AJ19+AJ23+AJ27+AJ31+AJ35+AJ39+AJ43+AJ47</f>
        <v/>
      </c>
      <c r="AK51" s="151">
        <f>AK7+AK11+AK15+AK19+AK23+AK27+AK31+AK35+AK39+AK43+AK47</f>
        <v/>
      </c>
      <c r="AL51" s="151">
        <f>AL7+AL11+AL15+AL19+AL23+AL27+AL31+AL35+AL39+AL43+AL47</f>
        <v/>
      </c>
      <c r="AM51" s="151">
        <f>AM7+AM11+AM15+AM19+AM23+AM27+AM31+AM35+AM39+AM43+AM47</f>
        <v/>
      </c>
      <c r="AN51" s="151">
        <f>AN7+AN11+AN15+AN19+AN23+AN27+AN31+AN35+AN39+AN43+AN47</f>
        <v/>
      </c>
      <c r="AO51" s="151">
        <f>AO7+AO11+AO15+AO19+AO23+AO27+AO31+AO35+AO39+AO43+AO47</f>
        <v/>
      </c>
      <c r="AP51" s="151">
        <f>AP7+AP11+AP15+AP19+AP23+AP27+AP31+AP35+AP39+AP43+AP47</f>
        <v/>
      </c>
      <c r="AQ51" s="151">
        <f>AQ7+AQ11+AQ15+AQ19+AQ23+AQ27+AQ31+AQ35+AQ39+AQ43+AQ47</f>
        <v/>
      </c>
      <c r="AR51" s="151">
        <f>AR7+AR11+AR15+AR19+AR23+AR27+AR31+AR35+AR39+AR43+AR47</f>
        <v/>
      </c>
      <c r="AS51" s="151">
        <f>AS7+AS11+AS15+AS19+AS23+AS27+AS31+AS35+AS39+AS43+AS47</f>
        <v/>
      </c>
      <c r="AT51" s="151">
        <f>AT7+AT11+AT15+AT19+AT23+AT27+AT31+AT35+AT39+AT43+AT47</f>
        <v/>
      </c>
      <c r="AU51" s="151">
        <f>AU7+AU11+AU15+AU19+AU23+AU27+AU31+AU35+AU39+AU43+AU47</f>
        <v/>
      </c>
      <c r="AV51" s="151">
        <f>AV7+AV11+AV15+AV19+AV23+AV27+AV31+AV35+AV39+AV43+AV47</f>
        <v/>
      </c>
      <c r="AW51" s="151">
        <f>AW7+AW11+AW15+AW19+AW23+AW27+AW31+AW35+AW39+AW43+AW47</f>
        <v/>
      </c>
      <c r="AX51" s="151">
        <f>AX7+AX11+AX15+AX19+AX23+AX27+AX31+AX35+AX39+AX43+AX47</f>
        <v/>
      </c>
      <c r="AY51" s="151">
        <f>AY7+AY11+AY15+AY19+AY23+AY27+AY31+AY35+AY39+AY43+AY47</f>
        <v/>
      </c>
      <c r="AZ51" s="151">
        <f>AZ7+AZ11+AZ15+AZ19+AZ23+AZ27+AZ31+AZ35+AZ39+AZ43+AZ47</f>
        <v/>
      </c>
      <c r="BA51" s="151">
        <f>BA7+BA11+BA15+BA19+BA23+BA27+BA31+BA35+BA39+BA43+BA47</f>
        <v/>
      </c>
      <c r="BB51" s="151">
        <f>BB7+BB11+BB15+BB19+BB23+BB27+BB31+BB35+BB39+BB43+BB47</f>
        <v/>
      </c>
      <c r="BC51" s="151">
        <f>BC7+BC11+BC15+BC19+BC23+BC27+BC31+BC35+BC39+BC43+BC47</f>
        <v/>
      </c>
      <c r="BD51" s="151">
        <f>BD7+BD11+BD15+BD19+BD23+BD27+BD31+BD35+BD39+BD43+BD47</f>
        <v/>
      </c>
      <c r="BE51" s="151">
        <f>BE7+BE11+BE15+BE19+BE23+BE27+BE31+BE35+BE39+BE43+BE47</f>
        <v/>
      </c>
      <c r="BF51" s="151">
        <f>BF7+BF11+BF15+BF19+BF23+BF27+BF31+BF35+BF39+BF43+BF47</f>
        <v/>
      </c>
      <c r="BG51" s="151">
        <f>BG7+BG11+BG15+BG19+BG23+BG27+BG31+BG35+BG39+BG43+BG47</f>
        <v/>
      </c>
      <c r="BH51" s="151">
        <f>BH7+BH11+BH15+BH19+BH23+BH27+BH31+BH35+BH39+BH43+BH47</f>
        <v/>
      </c>
      <c r="BI51" s="151">
        <f>BI7+BI11+BI15+BI19+BI23+BI27+BI31+BI35+BI39+BI43+BI47</f>
        <v/>
      </c>
      <c r="BJ51" s="151">
        <f>BJ7+BJ11+BJ15+BJ19+BJ23+BJ27+BJ31+BJ35+BJ39+BJ43+BJ47</f>
        <v/>
      </c>
      <c r="BL51" s="152">
        <f>C51+D51+E51+F51+G51+H51+I51+J51+K51+L51+M51+N51</f>
        <v/>
      </c>
      <c r="BM51" s="152">
        <f>O51+P51+Q51+R51+S51+T51+U51+V51+W51+X51+Y51+Z51</f>
        <v/>
      </c>
      <c r="BN51" s="152">
        <f>AA51+AB51+AC51+AD51+AE51+AF51+AG51+AH51+AI51+AJ51+AK51+AL51</f>
        <v/>
      </c>
      <c r="BO51" s="152">
        <f>AM51+AN51+AO51+AP51+AQ51+AR51+AS51+AT51+AU51+AV51+AW51+AX51</f>
        <v/>
      </c>
      <c r="BP51" s="152">
        <f>AY51+AZ51+BA51+BB51+BC51+BD51+BE51+BF51+BG51+BH51+BI51+BJ51</f>
        <v/>
      </c>
    </row>
    <row r="52" ht="15" customHeight="1" s="104">
      <c r="A52" s="116" t="inlineStr">
        <is>
          <t>Total D&amp;A (Consolidated)</t>
        </is>
      </c>
      <c r="C52" s="151">
        <f>C50+C51</f>
        <v/>
      </c>
      <c r="D52" s="151">
        <f>D50+D51</f>
        <v/>
      </c>
      <c r="E52" s="151">
        <f>E50+E51</f>
        <v/>
      </c>
      <c r="F52" s="151">
        <f>F50+F51</f>
        <v/>
      </c>
      <c r="G52" s="151">
        <f>G50+G51</f>
        <v/>
      </c>
      <c r="H52" s="151">
        <f>H50+H51</f>
        <v/>
      </c>
      <c r="I52" s="151">
        <f>I50+I51</f>
        <v/>
      </c>
      <c r="J52" s="151">
        <f>J50+J51</f>
        <v/>
      </c>
      <c r="K52" s="151">
        <f>K50+K51</f>
        <v/>
      </c>
      <c r="L52" s="151">
        <f>L50+L51</f>
        <v/>
      </c>
      <c r="M52" s="151">
        <f>M50+M51</f>
        <v/>
      </c>
      <c r="N52" s="151">
        <f>N50+N51</f>
        <v/>
      </c>
      <c r="O52" s="151">
        <f>O50+O51</f>
        <v/>
      </c>
      <c r="P52" s="151">
        <f>P50+P51</f>
        <v/>
      </c>
      <c r="Q52" s="151">
        <f>Q50+Q51</f>
        <v/>
      </c>
      <c r="R52" s="151">
        <f>R50+R51</f>
        <v/>
      </c>
      <c r="S52" s="151">
        <f>S50+S51</f>
        <v/>
      </c>
      <c r="T52" s="151">
        <f>T50+T51</f>
        <v/>
      </c>
      <c r="U52" s="151">
        <f>U50+U51</f>
        <v/>
      </c>
      <c r="V52" s="151">
        <f>V50+V51</f>
        <v/>
      </c>
      <c r="W52" s="151">
        <f>W50+W51</f>
        <v/>
      </c>
      <c r="X52" s="151">
        <f>X50+X51</f>
        <v/>
      </c>
      <c r="Y52" s="151">
        <f>Y50+Y51</f>
        <v/>
      </c>
      <c r="Z52" s="151">
        <f>Z50+Z51</f>
        <v/>
      </c>
      <c r="AA52" s="151">
        <f>AA50+AA51</f>
        <v/>
      </c>
      <c r="AB52" s="151">
        <f>AB50+AB51</f>
        <v/>
      </c>
      <c r="AC52" s="151">
        <f>AC50+AC51</f>
        <v/>
      </c>
      <c r="AD52" s="151">
        <f>AD50+AD51</f>
        <v/>
      </c>
      <c r="AE52" s="151">
        <f>AE50+AE51</f>
        <v/>
      </c>
      <c r="AF52" s="151">
        <f>AF50+AF51</f>
        <v/>
      </c>
      <c r="AG52" s="151">
        <f>AG50+AG51</f>
        <v/>
      </c>
      <c r="AH52" s="151">
        <f>AH50+AH51</f>
        <v/>
      </c>
      <c r="AI52" s="151">
        <f>AI50+AI51</f>
        <v/>
      </c>
      <c r="AJ52" s="151">
        <f>AJ50+AJ51</f>
        <v/>
      </c>
      <c r="AK52" s="151">
        <f>AK50+AK51</f>
        <v/>
      </c>
      <c r="AL52" s="151">
        <f>AL50+AL51</f>
        <v/>
      </c>
      <c r="AM52" s="151">
        <f>AM50+AM51</f>
        <v/>
      </c>
      <c r="AN52" s="151">
        <f>AN50+AN51</f>
        <v/>
      </c>
      <c r="AO52" s="151">
        <f>AO50+AO51</f>
        <v/>
      </c>
      <c r="AP52" s="151">
        <f>AP50+AP51</f>
        <v/>
      </c>
      <c r="AQ52" s="151">
        <f>AQ50+AQ51</f>
        <v/>
      </c>
      <c r="AR52" s="151">
        <f>AR50+AR51</f>
        <v/>
      </c>
      <c r="AS52" s="151">
        <f>AS50+AS51</f>
        <v/>
      </c>
      <c r="AT52" s="151">
        <f>AT50+AT51</f>
        <v/>
      </c>
      <c r="AU52" s="151">
        <f>AU50+AU51</f>
        <v/>
      </c>
      <c r="AV52" s="151">
        <f>AV50+AV51</f>
        <v/>
      </c>
      <c r="AW52" s="151">
        <f>AW50+AW51</f>
        <v/>
      </c>
      <c r="AX52" s="151">
        <f>AX50+AX51</f>
        <v/>
      </c>
      <c r="AY52" s="151">
        <f>AY50+AY51</f>
        <v/>
      </c>
      <c r="AZ52" s="151">
        <f>AZ50+AZ51</f>
        <v/>
      </c>
      <c r="BA52" s="151">
        <f>BA50+BA51</f>
        <v/>
      </c>
      <c r="BB52" s="151">
        <f>BB50+BB51</f>
        <v/>
      </c>
      <c r="BC52" s="151">
        <f>BC50+BC51</f>
        <v/>
      </c>
      <c r="BD52" s="151">
        <f>BD50+BD51</f>
        <v/>
      </c>
      <c r="BE52" s="151">
        <f>BE50+BE51</f>
        <v/>
      </c>
      <c r="BF52" s="151">
        <f>BF50+BF51</f>
        <v/>
      </c>
      <c r="BG52" s="151">
        <f>BG50+BG51</f>
        <v/>
      </c>
      <c r="BH52" s="151">
        <f>BH50+BH51</f>
        <v/>
      </c>
      <c r="BI52" s="151">
        <f>BI50+BI51</f>
        <v/>
      </c>
      <c r="BJ52" s="151">
        <f>BJ50+BJ51</f>
        <v/>
      </c>
      <c r="BL52" s="152">
        <f>C52+D52+E52+F52+G52+H52+I52+J52+K52+L52+M52+N52</f>
        <v/>
      </c>
      <c r="BM52" s="152">
        <f>O52+P52+Q52+R52+S52+T52+U52+V52+W52+X52+Y52+Z52</f>
        <v/>
      </c>
      <c r="BN52" s="152">
        <f>AA52+AB52+AC52+AD52+AE52+AF52+AG52+AH52+AI52+AJ52+AK52+AL52</f>
        <v/>
      </c>
      <c r="BO52" s="152">
        <f>AM52+AN52+AO52+AP52+AQ52+AR52+AS52+AT52+AU52+AV52+AW52+AX52</f>
        <v/>
      </c>
      <c r="BP52" s="152">
        <f>AY52+AZ52+BA52+BB52+BC52+BD52+BE52+BF52+BG52+BH52+BI52+BJ52</f>
        <v/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05"/>
  <sheetViews>
    <sheetView workbookViewId="0">
      <selection activeCell="A1" sqref="A1"/>
    </sheetView>
  </sheetViews>
  <sheetFormatPr baseColWidth="8" defaultRowHeight="15"/>
  <cols>
    <col width="30" customWidth="1" style="104" min="1" max="1"/>
    <col width="14" customWidth="1" style="104" min="2" max="2"/>
    <col width="18" customWidth="1" style="104" min="3" max="3"/>
    <col width="30" customWidth="1" style="104" min="4" max="4"/>
    <col width="14" customWidth="1" style="104" min="5" max="5"/>
    <col width="18" customWidth="1" style="104" min="6" max="6"/>
  </cols>
  <sheetData>
    <row r="1">
      <c r="A1" s="132" t="inlineStr">
        <is>
          <t>Ascendant Legal Partners Fund I - Sources &amp; Uses</t>
        </is>
      </c>
    </row>
    <row r="2">
      <c r="A2" s="133" t="inlineStr">
        <is>
          <t>Equity Cap: $100mm | Min Cash Reserve: 25% of Consol. EBITDA | Fees funded by sponsor equity</t>
        </is>
      </c>
    </row>
    <row r="4">
      <c r="A4" s="134" t="inlineStr">
        <is>
          <t>Platform Acquisition</t>
        </is>
      </c>
      <c r="D4" s="130" t="inlineStr">
        <is>
          <t>Close: Oct 1, 2026</t>
        </is>
      </c>
    </row>
    <row r="5">
      <c r="A5" s="135" t="inlineStr">
        <is>
          <t>USES</t>
        </is>
      </c>
      <c r="B5" s="135" t="n"/>
      <c r="D5" s="135" t="inlineStr">
        <is>
          <t>SOURCES</t>
        </is>
      </c>
      <c r="E5" s="135" t="n"/>
    </row>
    <row r="6">
      <c r="A6" s="136" t="inlineStr">
        <is>
          <t>Enterprise Value</t>
        </is>
      </c>
      <c r="B6" s="137" t="n">
        <v>88.2</v>
      </c>
      <c r="C6" s="130" t="inlineStr">
        <is>
          <t>7.0x EBITDA</t>
        </is>
      </c>
      <c r="D6" s="136" t="inlineStr">
        <is>
          <t>Senior Debt</t>
        </is>
      </c>
      <c r="E6" s="137" t="n">
        <v>37.8</v>
      </c>
      <c r="F6" s="130" t="inlineStr">
        <is>
          <t>3.0x EBITDA</t>
        </is>
      </c>
    </row>
    <row r="7">
      <c r="A7" s="136" t="inlineStr">
        <is>
          <t>Transaction Fees</t>
        </is>
      </c>
      <c r="B7" s="137" t="n">
        <v>2.646</v>
      </c>
      <c r="C7" s="130" t="inlineStr">
        <is>
          <t>3% of TEV</t>
        </is>
      </c>
      <c r="D7" s="136" t="inlineStr">
        <is>
          <t>Sponsor Equity (New)</t>
        </is>
      </c>
      <c r="E7" s="137" t="n">
        <v>58.04600000000001</v>
      </c>
      <c r="F7" s="130" t="inlineStr">
        <is>
          <t>60.6% of total</t>
        </is>
      </c>
    </row>
    <row r="8">
      <c r="A8" s="136" t="inlineStr">
        <is>
          <t>Cash to Balance Sheet</t>
        </is>
      </c>
      <c r="B8" s="137" t="n">
        <v>5</v>
      </c>
      <c r="C8" s="130" t="inlineStr">
        <is>
          <t>Operating cushion</t>
        </is>
      </c>
    </row>
    <row r="9">
      <c r="A9" s="138" t="inlineStr">
        <is>
          <t>Total Uses</t>
        </is>
      </c>
      <c r="B9" s="139" t="n">
        <v>95.846</v>
      </c>
      <c r="D9" s="138" t="inlineStr">
        <is>
          <t>Total Sources</t>
        </is>
      </c>
      <c r="E9" s="139" t="n">
        <v>95.846</v>
      </c>
    </row>
    <row r="10">
      <c r="A10" s="130" t="inlineStr">
        <is>
          <t>LTM Rev: $70.0mm | EBITDA Margin: 18% | EBITDA: $12.6mm</t>
        </is>
      </c>
    </row>
    <row r="11">
      <c r="A11" s="140" t="inlineStr">
        <is>
          <t>Cumulative Equity Deployed: $58.0mm of $100mm cap (58.0%)</t>
        </is>
      </c>
    </row>
    <row r="13">
      <c r="A13" s="134" t="inlineStr">
        <is>
          <t>Add-On 1</t>
        </is>
      </c>
      <c r="D13" s="130" t="inlineStr">
        <is>
          <t>Close: 1/15/2027</t>
        </is>
      </c>
    </row>
    <row r="14">
      <c r="A14" s="135" t="inlineStr">
        <is>
          <t>USES</t>
        </is>
      </c>
      <c r="B14" s="135" t="n"/>
      <c r="D14" s="135" t="inlineStr">
        <is>
          <t>SOURCES</t>
        </is>
      </c>
      <c r="E14" s="135" t="n"/>
    </row>
    <row r="15">
      <c r="A15" s="136" t="inlineStr">
        <is>
          <t>Enterprise Value</t>
        </is>
      </c>
      <c r="B15" s="137" t="n">
        <v>15</v>
      </c>
      <c r="C15" s="130" t="inlineStr">
        <is>
          <t>5.0x EBITDA</t>
        </is>
      </c>
      <c r="D15" s="136" t="inlineStr">
        <is>
          <t>Senior Debt</t>
        </is>
      </c>
      <c r="E15" s="137" t="n">
        <v>11.5172403093161</v>
      </c>
      <c r="F15" s="130" t="inlineStr">
        <is>
          <t>3.8x acq. EBITDA</t>
        </is>
      </c>
    </row>
    <row r="16">
      <c r="A16" s="136" t="inlineStr">
        <is>
          <t>Transaction Fees</t>
        </is>
      </c>
      <c r="B16" s="137" t="n">
        <v>0.3</v>
      </c>
      <c r="C16" s="130" t="inlineStr">
        <is>
          <t>2% of TEV</t>
        </is>
      </c>
      <c r="D16" s="136" t="inlineStr">
        <is>
          <t>Sponsor Equity (New)</t>
        </is>
      </c>
      <c r="E16" s="137" t="n">
        <v>3.7827596906839</v>
      </c>
      <c r="F16" s="130" t="inlineStr">
        <is>
          <t>24.7% of total</t>
        </is>
      </c>
    </row>
    <row r="17">
      <c r="A17" s="138" t="inlineStr">
        <is>
          <t>Total Uses</t>
        </is>
      </c>
      <c r="B17" s="139" t="n">
        <v>15.3</v>
      </c>
      <c r="D17" s="138" t="inlineStr">
        <is>
          <t>Total Sources</t>
        </is>
      </c>
      <c r="E17" s="139" t="n">
        <v>15.3</v>
      </c>
    </row>
    <row r="18">
      <c r="A18" s="130" t="inlineStr">
        <is>
          <t>LTM Rev: $15.0mm | EBITDA Margin: 20% | EBITDA: $3.0mm</t>
        </is>
      </c>
    </row>
    <row r="19">
      <c r="A19" s="140" t="inlineStr">
        <is>
          <t>Cumulative Equity Deployed: $61.8mm of $100mm cap (61.8%)</t>
        </is>
      </c>
    </row>
    <row r="21">
      <c r="A21" s="134" t="inlineStr">
        <is>
          <t>Add-On 2</t>
        </is>
      </c>
      <c r="D21" s="130" t="inlineStr">
        <is>
          <t>Close: 4/1/2027</t>
        </is>
      </c>
    </row>
    <row r="22">
      <c r="A22" s="135" t="inlineStr">
        <is>
          <t>USES</t>
        </is>
      </c>
      <c r="B22" s="135" t="n"/>
      <c r="D22" s="135" t="inlineStr">
        <is>
          <t>SOURCES</t>
        </is>
      </c>
      <c r="E22" s="135" t="n"/>
    </row>
    <row r="23">
      <c r="A23" s="136" t="inlineStr">
        <is>
          <t>Enterprise Value</t>
        </is>
      </c>
      <c r="B23" s="137" t="n">
        <v>17.1</v>
      </c>
      <c r="C23" s="130" t="inlineStr">
        <is>
          <t>4.5x EBITDA</t>
        </is>
      </c>
      <c r="D23" s="136" t="inlineStr">
        <is>
          <t>Senior Debt</t>
        </is>
      </c>
      <c r="E23" s="137" t="n">
        <v>7.18483753566851</v>
      </c>
      <c r="F23" s="130" t="inlineStr">
        <is>
          <t>1.9x acq. EBITDA</t>
        </is>
      </c>
    </row>
    <row r="24">
      <c r="A24" s="136" t="inlineStr">
        <is>
          <t>Transaction Fees</t>
        </is>
      </c>
      <c r="B24" s="137" t="n">
        <v>0.342</v>
      </c>
      <c r="C24" s="130" t="inlineStr">
        <is>
          <t>2% of TEV</t>
        </is>
      </c>
      <c r="D24" s="136" t="inlineStr">
        <is>
          <t>Sponsor Equity (New)</t>
        </is>
      </c>
      <c r="E24" s="137" t="n">
        <v>10.25716246433149</v>
      </c>
      <c r="F24" s="130" t="inlineStr">
        <is>
          <t>58.8% of total</t>
        </is>
      </c>
    </row>
    <row r="25">
      <c r="A25" s="138" t="inlineStr">
        <is>
          <t>Total Uses</t>
        </is>
      </c>
      <c r="B25" s="139" t="n">
        <v>17.442</v>
      </c>
      <c r="D25" s="138" t="inlineStr">
        <is>
          <t>Total Sources</t>
        </is>
      </c>
      <c r="E25" s="139" t="n">
        <v>17.442</v>
      </c>
    </row>
    <row r="26">
      <c r="A26" s="130" t="inlineStr">
        <is>
          <t>LTM Rev: $20.0mm | EBITDA Margin: 19% | EBITDA: $3.8mm</t>
        </is>
      </c>
    </row>
    <row r="27">
      <c r="A27" s="140" t="inlineStr">
        <is>
          <t>Cumulative Equity Deployed: $72.1mm of $100mm cap (72.1%)</t>
        </is>
      </c>
    </row>
    <row r="29">
      <c r="A29" s="134" t="inlineStr">
        <is>
          <t>Add-On 3</t>
        </is>
      </c>
      <c r="D29" s="130" t="inlineStr">
        <is>
          <t>Close: 7/1/2027</t>
        </is>
      </c>
    </row>
    <row r="30">
      <c r="A30" s="135" t="inlineStr">
        <is>
          <t>USES</t>
        </is>
      </c>
      <c r="B30" s="135" t="n"/>
      <c r="D30" s="135" t="inlineStr">
        <is>
          <t>SOURCES</t>
        </is>
      </c>
      <c r="E30" s="135" t="n"/>
    </row>
    <row r="31">
      <c r="A31" s="136" t="inlineStr">
        <is>
          <t>Enterprise Value</t>
        </is>
      </c>
      <c r="B31" s="137" t="n">
        <v>15.12</v>
      </c>
      <c r="C31" s="130" t="inlineStr">
        <is>
          <t>6.0x EBITDA</t>
        </is>
      </c>
      <c r="D31" s="136" t="inlineStr">
        <is>
          <t>Senior Debt</t>
        </is>
      </c>
      <c r="E31" s="137" t="n">
        <v>1.38558845151758</v>
      </c>
      <c r="F31" s="130" t="inlineStr">
        <is>
          <t>0.5x acq. EBITDA</t>
        </is>
      </c>
    </row>
    <row r="32">
      <c r="A32" s="136" t="inlineStr">
        <is>
          <t>Transaction Fees</t>
        </is>
      </c>
      <c r="B32" s="137" t="n">
        <v>0.3024</v>
      </c>
      <c r="C32" s="130" t="inlineStr">
        <is>
          <t>2% of TEV</t>
        </is>
      </c>
      <c r="D32" s="136" t="inlineStr">
        <is>
          <t>Sponsor Equity (New)</t>
        </is>
      </c>
      <c r="E32" s="137" t="n">
        <v>14.03681154848242</v>
      </c>
      <c r="F32" s="130" t="inlineStr">
        <is>
          <t>91.0% of total</t>
        </is>
      </c>
    </row>
    <row r="33">
      <c r="A33" s="138" t="inlineStr">
        <is>
          <t>Total Uses</t>
        </is>
      </c>
      <c r="B33" s="139" t="n">
        <v>15.4224</v>
      </c>
      <c r="D33" s="138" t="inlineStr">
        <is>
          <t>Total Sources</t>
        </is>
      </c>
      <c r="E33" s="139" t="n">
        <v>15.4224</v>
      </c>
    </row>
    <row r="34">
      <c r="A34" s="130" t="inlineStr">
        <is>
          <t>LTM Rev: $12.0mm | EBITDA Margin: 21% | EBITDA: $2.5mm</t>
        </is>
      </c>
    </row>
    <row r="35">
      <c r="A35" s="140" t="inlineStr">
        <is>
          <t>Cumulative Equity Deployed: $86.1mm of $100mm cap (86.1%)</t>
        </is>
      </c>
    </row>
    <row r="37">
      <c r="A37" s="134" t="inlineStr">
        <is>
          <t>Add-On 4</t>
        </is>
      </c>
      <c r="D37" s="130" t="inlineStr">
        <is>
          <t>Close: 1/1/2028</t>
        </is>
      </c>
    </row>
    <row r="38">
      <c r="A38" s="135" t="inlineStr">
        <is>
          <t>USES</t>
        </is>
      </c>
      <c r="B38" s="135" t="n"/>
      <c r="D38" s="135" t="inlineStr">
        <is>
          <t>SOURCES</t>
        </is>
      </c>
      <c r="E38" s="135" t="n"/>
    </row>
    <row r="39">
      <c r="A39" s="136" t="inlineStr">
        <is>
          <t>Enterprise Value</t>
        </is>
      </c>
      <c r="B39" s="137" t="n">
        <v>38.5</v>
      </c>
      <c r="C39" s="130" t="inlineStr">
        <is>
          <t>7.0x EBITDA</t>
        </is>
      </c>
      <c r="D39" s="136" t="inlineStr">
        <is>
          <t>Senior Debt</t>
        </is>
      </c>
      <c r="E39" s="137" t="n">
        <v>23.7158873606795</v>
      </c>
      <c r="F39" s="130" t="inlineStr">
        <is>
          <t>4.3x acq. EBITDA</t>
        </is>
      </c>
    </row>
    <row r="40">
      <c r="A40" s="136" t="inlineStr">
        <is>
          <t>Transaction Fees</t>
        </is>
      </c>
      <c r="B40" s="137" t="n">
        <v>0.77</v>
      </c>
      <c r="C40" s="130" t="inlineStr">
        <is>
          <t>2% of TEV</t>
        </is>
      </c>
      <c r="D40" s="136" t="inlineStr">
        <is>
          <t>Sponsor Equity (New)</t>
        </is>
      </c>
      <c r="E40" s="137" t="n">
        <v>13.87726629650219</v>
      </c>
      <c r="F40" s="130" t="inlineStr">
        <is>
          <t>Remaining cap capacity</t>
        </is>
      </c>
    </row>
    <row r="41">
      <c r="D41" s="141" t="inlineStr">
        <is>
          <t>Cash from Balance Sheet</t>
        </is>
      </c>
      <c r="E41" s="142" t="n">
        <v>1.676846342818319</v>
      </c>
      <c r="F41" s="130" t="inlineStr">
        <is>
          <t>Adj. BS cash: $15.1mm</t>
        </is>
      </c>
    </row>
    <row r="42">
      <c r="A42" s="138" t="inlineStr">
        <is>
          <t>Total Uses</t>
        </is>
      </c>
      <c r="B42" s="139" t="n">
        <v>39.27</v>
      </c>
      <c r="D42" s="138" t="inlineStr">
        <is>
          <t>Total Sources</t>
        </is>
      </c>
      <c r="E42" s="139" t="n">
        <v>39.27000000000001</v>
      </c>
    </row>
    <row r="43">
      <c r="A43" s="130" t="inlineStr">
        <is>
          <t>LTM Rev: $25.0mm | EBITDA Margin: 22% | EBITDA: $5.5mm</t>
        </is>
      </c>
    </row>
    <row r="44">
      <c r="A44" s="143" t="inlineStr">
        <is>
          <t>Cumulative Equity Deployed: $100.0mm of $100mm cap (100.0%)</t>
        </is>
      </c>
    </row>
    <row r="46">
      <c r="A46" s="134" t="inlineStr">
        <is>
          <t>Add-On 5</t>
        </is>
      </c>
      <c r="D46" s="130" t="inlineStr">
        <is>
          <t>Close: 4/1/2028</t>
        </is>
      </c>
    </row>
    <row r="47">
      <c r="A47" s="135" t="inlineStr">
        <is>
          <t>USES</t>
        </is>
      </c>
      <c r="B47" s="135" t="n"/>
      <c r="D47" s="135" t="inlineStr">
        <is>
          <t>SOURCES</t>
        </is>
      </c>
      <c r="E47" s="135" t="n"/>
    </row>
    <row r="48">
      <c r="A48" s="136" t="inlineStr">
        <is>
          <t>Enterprise Value</t>
        </is>
      </c>
      <c r="B48" s="137" t="n">
        <v>12.6</v>
      </c>
      <c r="C48" s="130" t="inlineStr">
        <is>
          <t>3.5x EBITDA</t>
        </is>
      </c>
      <c r="D48" s="136" t="inlineStr">
        <is>
          <t>Senior Debt</t>
        </is>
      </c>
      <c r="E48" s="137" t="n">
        <v>4.82923024073958</v>
      </c>
      <c r="F48" s="130" t="inlineStr">
        <is>
          <t>1.3x acq. EBITDA</t>
        </is>
      </c>
    </row>
    <row r="49">
      <c r="A49" s="136" t="inlineStr">
        <is>
          <t>Transaction Fees</t>
        </is>
      </c>
      <c r="B49" s="137" t="n">
        <v>0.252</v>
      </c>
      <c r="C49" s="130" t="inlineStr">
        <is>
          <t>2% of TEV</t>
        </is>
      </c>
      <c r="D49" s="141" t="inlineStr">
        <is>
          <t>Cash from Balance Sheet</t>
        </is>
      </c>
      <c r="E49" s="142" t="n">
        <v>8.02276975926042</v>
      </c>
      <c r="F49" s="130" t="inlineStr">
        <is>
          <t>Equity cap reached; adj. BS cash: $16.0mm</t>
        </is>
      </c>
    </row>
    <row r="50">
      <c r="A50" s="138" t="inlineStr">
        <is>
          <t>Total Uses</t>
        </is>
      </c>
      <c r="B50" s="139" t="n">
        <v>12.852</v>
      </c>
      <c r="D50" s="138" t="inlineStr">
        <is>
          <t>Total Sources</t>
        </is>
      </c>
      <c r="E50" s="139" t="n">
        <v>12.852</v>
      </c>
    </row>
    <row r="51">
      <c r="A51" s="130" t="inlineStr">
        <is>
          <t>LTM Rev: $18.0mm | EBITDA Margin: 20% | EBITDA: $3.6mm</t>
        </is>
      </c>
    </row>
    <row r="52">
      <c r="A52" s="143" t="inlineStr">
        <is>
          <t>Cumulative Equity Deployed: $100.0mm of $100mm cap (100.0%)</t>
        </is>
      </c>
    </row>
    <row r="54">
      <c r="A54" s="134" t="inlineStr">
        <is>
          <t>Add-On 6</t>
        </is>
      </c>
      <c r="D54" s="130" t="inlineStr">
        <is>
          <t>Close: 10/1/2028</t>
        </is>
      </c>
    </row>
    <row r="55">
      <c r="A55" s="135" t="inlineStr">
        <is>
          <t>USES</t>
        </is>
      </c>
      <c r="B55" s="135" t="n"/>
      <c r="D55" s="135" t="inlineStr">
        <is>
          <t>SOURCES</t>
        </is>
      </c>
      <c r="E55" s="135" t="n"/>
    </row>
    <row r="56">
      <c r="A56" s="136" t="inlineStr">
        <is>
          <t>Enterprise Value</t>
        </is>
      </c>
      <c r="B56" s="137" t="n">
        <v>20.79</v>
      </c>
      <c r="C56" s="130" t="inlineStr">
        <is>
          <t>4.5x EBITDA</t>
        </is>
      </c>
      <c r="D56" s="136" t="inlineStr">
        <is>
          <t>Senior Debt</t>
        </is>
      </c>
      <c r="E56" s="137" t="n">
        <v>20.79</v>
      </c>
      <c r="F56" s="130" t="inlineStr">
        <is>
          <t>4.5x acq. EBITDA</t>
        </is>
      </c>
    </row>
    <row r="57">
      <c r="A57" s="136" t="inlineStr">
        <is>
          <t>Transaction Fees</t>
        </is>
      </c>
      <c r="B57" s="137" t="n">
        <v>0.4158</v>
      </c>
      <c r="C57" s="130" t="inlineStr">
        <is>
          <t>2% of TEV</t>
        </is>
      </c>
      <c r="D57" s="141" t="inlineStr">
        <is>
          <t>Cash from Balance Sheet</t>
        </is>
      </c>
      <c r="E57" s="142" t="n">
        <v>0.4158000000000008</v>
      </c>
      <c r="F57" s="130" t="inlineStr">
        <is>
          <t>Equity cap reached; adj. BS cash: $15.6mm</t>
        </is>
      </c>
    </row>
    <row r="58">
      <c r="A58" s="138" t="inlineStr">
        <is>
          <t>Total Uses</t>
        </is>
      </c>
      <c r="B58" s="139" t="n">
        <v>21.2058</v>
      </c>
      <c r="D58" s="138" t="inlineStr">
        <is>
          <t>Total Sources</t>
        </is>
      </c>
      <c r="E58" s="139" t="n">
        <v>21.2058</v>
      </c>
    </row>
    <row r="59">
      <c r="A59" s="130" t="inlineStr">
        <is>
          <t>LTM Rev: $22.0mm | EBITDA Margin: 21% | EBITDA: $4.6mm</t>
        </is>
      </c>
    </row>
    <row r="60">
      <c r="A60" s="143" t="inlineStr">
        <is>
          <t>Cumulative Equity Deployed: $100.0mm of $100mm cap (100.0%)</t>
        </is>
      </c>
    </row>
    <row r="62">
      <c r="A62" s="144" t="inlineStr">
        <is>
          <t>Add-On 7 - TURNED OFF (Insufficient Funds)</t>
        </is>
      </c>
      <c r="D62" s="130" t="inlineStr">
        <is>
          <t>Close: 1/1/2029</t>
        </is>
      </c>
    </row>
    <row r="63">
      <c r="A63" s="145" t="inlineStr">
        <is>
          <t>Needed $12.1mm from BS cash but only $10.6mm available (BS cash $19.5mm - min reserve $8.9mm)</t>
        </is>
      </c>
    </row>
    <row r="65">
      <c r="A65" s="134" t="inlineStr">
        <is>
          <t>Add-On 8</t>
        </is>
      </c>
      <c r="D65" s="130" t="inlineStr">
        <is>
          <t>Close: 4/1/2029</t>
        </is>
      </c>
    </row>
    <row r="66">
      <c r="A66" s="135" t="inlineStr">
        <is>
          <t>USES</t>
        </is>
      </c>
      <c r="B66" s="135" t="n"/>
      <c r="D66" s="135" t="inlineStr">
        <is>
          <t>SOURCES</t>
        </is>
      </c>
      <c r="E66" s="135" t="n"/>
    </row>
    <row r="67">
      <c r="A67" s="136" t="inlineStr">
        <is>
          <t>Enterprise Value</t>
        </is>
      </c>
      <c r="B67" s="137" t="n">
        <v>15.96</v>
      </c>
      <c r="C67" s="130" t="inlineStr">
        <is>
          <t>6.0x EBITDA</t>
        </is>
      </c>
      <c r="D67" s="136" t="inlineStr">
        <is>
          <t>Senior Debt</t>
        </is>
      </c>
      <c r="E67" s="137" t="n">
        <v>5.42867566943596</v>
      </c>
      <c r="F67" s="130" t="inlineStr">
        <is>
          <t>2.0x acq. EBITDA</t>
        </is>
      </c>
    </row>
    <row r="68">
      <c r="A68" s="136" t="inlineStr">
        <is>
          <t>Transaction Fees</t>
        </is>
      </c>
      <c r="B68" s="137" t="n">
        <v>0.3192</v>
      </c>
      <c r="C68" s="130" t="inlineStr">
        <is>
          <t>2% of TEV</t>
        </is>
      </c>
      <c r="D68" s="141" t="inlineStr">
        <is>
          <t>Cash from Balance Sheet</t>
        </is>
      </c>
      <c r="E68" s="142" t="n">
        <v>10.85052433056404</v>
      </c>
      <c r="F68" s="130" t="inlineStr">
        <is>
          <t>Equity cap reached; adj. BS cash: $24.5mm</t>
        </is>
      </c>
    </row>
    <row r="69">
      <c r="A69" s="138" t="inlineStr">
        <is>
          <t>Total Uses</t>
        </is>
      </c>
      <c r="B69" s="139" t="n">
        <v>16.2792</v>
      </c>
      <c r="D69" s="138" t="inlineStr">
        <is>
          <t>Total Sources</t>
        </is>
      </c>
      <c r="E69" s="139" t="n">
        <v>16.2792</v>
      </c>
    </row>
    <row r="70">
      <c r="A70" s="130" t="inlineStr">
        <is>
          <t>LTM Rev: $14.0mm | EBITDA Margin: 19% | EBITDA: $2.7mm</t>
        </is>
      </c>
    </row>
    <row r="71">
      <c r="A71" s="143" t="inlineStr">
        <is>
          <t>Cumulative Equity Deployed: $100.0mm of $100mm cap (100.0%)</t>
        </is>
      </c>
    </row>
    <row r="73">
      <c r="A73" s="134" t="inlineStr">
        <is>
          <t>Add-On 9</t>
        </is>
      </c>
      <c r="D73" s="130" t="inlineStr">
        <is>
          <t>Close: 10/1/2029</t>
        </is>
      </c>
    </row>
    <row r="74">
      <c r="A74" s="135" t="inlineStr">
        <is>
          <t>USES</t>
        </is>
      </c>
      <c r="B74" s="135" t="n"/>
      <c r="D74" s="135" t="inlineStr">
        <is>
          <t>SOURCES</t>
        </is>
      </c>
      <c r="E74" s="135" t="n"/>
    </row>
    <row r="75">
      <c r="A75" s="136" t="inlineStr">
        <is>
          <t>Enterprise Value</t>
        </is>
      </c>
      <c r="B75" s="137" t="n">
        <v>17.85</v>
      </c>
      <c r="C75" s="130" t="inlineStr">
        <is>
          <t>5.0x EBITDA</t>
        </is>
      </c>
      <c r="D75" s="136" t="inlineStr">
        <is>
          <t>Senior Debt</t>
        </is>
      </c>
      <c r="E75" s="137" t="n">
        <v>17.85</v>
      </c>
      <c r="F75" s="130" t="inlineStr">
        <is>
          <t>5.0x acq. EBITDA</t>
        </is>
      </c>
    </row>
    <row r="76">
      <c r="A76" s="136" t="inlineStr">
        <is>
          <t>Transaction Fees</t>
        </is>
      </c>
      <c r="B76" s="137" t="n">
        <v>0.357</v>
      </c>
      <c r="C76" s="130" t="inlineStr">
        <is>
          <t>2% of TEV</t>
        </is>
      </c>
      <c r="D76" s="141" t="inlineStr">
        <is>
          <t>Cash from Balance Sheet</t>
        </is>
      </c>
      <c r="E76" s="142" t="n">
        <v>0.3569999999999993</v>
      </c>
      <c r="F76" s="130" t="inlineStr">
        <is>
          <t>Equity cap reached; adj. BS cash: $25.5mm</t>
        </is>
      </c>
    </row>
    <row r="77">
      <c r="A77" s="138" t="inlineStr">
        <is>
          <t>Total Uses</t>
        </is>
      </c>
      <c r="B77" s="139" t="n">
        <v>18.207</v>
      </c>
      <c r="D77" s="138" t="inlineStr">
        <is>
          <t>Total Sources</t>
        </is>
      </c>
      <c r="E77" s="139" t="n">
        <v>18.207</v>
      </c>
    </row>
    <row r="78">
      <c r="A78" s="130" t="inlineStr">
        <is>
          <t>LTM Rev: $17.0mm | EBITDA Margin: 21% | EBITDA: $3.6mm</t>
        </is>
      </c>
    </row>
    <row r="79">
      <c r="A79" s="143" t="inlineStr">
        <is>
          <t>Cumulative Equity Deployed: $100.0mm of $100mm cap (100.0%)</t>
        </is>
      </c>
    </row>
    <row r="81">
      <c r="A81" s="134" t="inlineStr">
        <is>
          <t>Add-On 10</t>
        </is>
      </c>
      <c r="D81" s="130" t="inlineStr">
        <is>
          <t>Close: 1/1/2030</t>
        </is>
      </c>
    </row>
    <row r="82">
      <c r="A82" s="135" t="inlineStr">
        <is>
          <t>USES</t>
        </is>
      </c>
      <c r="B82" s="135" t="n"/>
      <c r="D82" s="135" t="inlineStr">
        <is>
          <t>SOURCES</t>
        </is>
      </c>
      <c r="E82" s="135" t="n"/>
    </row>
    <row r="83">
      <c r="A83" s="136" t="inlineStr">
        <is>
          <t>Enterprise Value</t>
        </is>
      </c>
      <c r="B83" s="137" t="n">
        <v>24</v>
      </c>
      <c r="C83" s="130" t="inlineStr">
        <is>
          <t>6.0x EBITDA</t>
        </is>
      </c>
      <c r="D83" s="136" t="inlineStr">
        <is>
          <t>Senior Debt</t>
        </is>
      </c>
      <c r="E83" s="137" t="n">
        <v>24</v>
      </c>
      <c r="F83" s="130" t="inlineStr">
        <is>
          <t>6.0x acq. EBITDA</t>
        </is>
      </c>
    </row>
    <row r="84">
      <c r="A84" s="136" t="inlineStr">
        <is>
          <t>Transaction Fees</t>
        </is>
      </c>
      <c r="B84" s="137" t="n">
        <v>0.48</v>
      </c>
      <c r="C84" s="130" t="inlineStr">
        <is>
          <t>2% of TEV</t>
        </is>
      </c>
      <c r="D84" s="141" t="inlineStr">
        <is>
          <t>Cash from Balance Sheet</t>
        </is>
      </c>
      <c r="E84" s="142" t="n">
        <v>0.4800000000000004</v>
      </c>
      <c r="F84" s="130" t="inlineStr">
        <is>
          <t>Equity cap reached; adj. BS cash: $32.2mm</t>
        </is>
      </c>
    </row>
    <row r="85">
      <c r="A85" s="138" t="inlineStr">
        <is>
          <t>Total Uses</t>
        </is>
      </c>
      <c r="B85" s="139" t="n">
        <v>24.48</v>
      </c>
      <c r="D85" s="138" t="inlineStr">
        <is>
          <t>Total Sources</t>
        </is>
      </c>
      <c r="E85" s="139" t="n">
        <v>24.48</v>
      </c>
    </row>
    <row r="86">
      <c r="A86" s="130" t="inlineStr">
        <is>
          <t>LTM Rev: $20.0mm | EBITDA Margin: 20% | EBITDA: $4.0mm</t>
        </is>
      </c>
    </row>
    <row r="87">
      <c r="A87" s="143" t="inlineStr">
        <is>
          <t>Cumulative Equity Deployed: $100.0mm of $100mm cap (100.0%)</t>
        </is>
      </c>
    </row>
    <row r="89">
      <c r="A89" s="134" t="inlineStr">
        <is>
          <t>FUND SUMMARY - ALL ACQUISITIONS (Equity Cap Applied)</t>
        </is>
      </c>
    </row>
    <row r="90">
      <c r="A90" s="135" t="inlineStr">
        <is>
          <t>TOTAL USES</t>
        </is>
      </c>
      <c r="B90" s="135" t="n"/>
      <c r="D90" s="135" t="inlineStr">
        <is>
          <t>TOTAL SOURCES</t>
        </is>
      </c>
      <c r="E90" s="135" t="n"/>
    </row>
    <row r="91">
      <c r="A91" s="136" t="inlineStr">
        <is>
          <t>Total Enterprise Value</t>
        </is>
      </c>
      <c r="B91" s="137" t="n">
        <v>265.12</v>
      </c>
      <c r="D91" s="136" t="inlineStr">
        <is>
          <t>Total Senior Debt</t>
        </is>
      </c>
      <c r="E91" s="137" t="n">
        <v>154.5014595673572</v>
      </c>
    </row>
    <row r="92">
      <c r="A92" s="136" t="inlineStr">
        <is>
          <t>Total Transaction Fees</t>
        </is>
      </c>
      <c r="B92" s="137" t="n">
        <v>6.1844</v>
      </c>
      <c r="D92" s="136" t="inlineStr">
        <is>
          <t>Total Sponsor Equity (New)</t>
        </is>
      </c>
      <c r="E92" s="137" t="n">
        <v>100</v>
      </c>
      <c r="F92" s="130" t="inlineStr">
        <is>
          <t>Cap: $100mm</t>
        </is>
      </c>
    </row>
    <row r="93">
      <c r="A93" s="136" t="inlineStr">
        <is>
          <t>Cash to Balance Sheet</t>
        </is>
      </c>
      <c r="B93" s="137" t="n">
        <v>5</v>
      </c>
      <c r="D93" s="141" t="inlineStr">
        <is>
          <t>Cash from Balance Sheet</t>
        </is>
      </c>
      <c r="E93" s="142" t="n">
        <v>21.80294043264278</v>
      </c>
      <c r="F93" s="130" t="inlineStr">
        <is>
          <t>Over-cap deal funding</t>
        </is>
      </c>
    </row>
    <row r="94">
      <c r="A94" s="138" t="inlineStr">
        <is>
          <t>Grand Total Uses</t>
        </is>
      </c>
      <c r="B94" s="139" t="n">
        <v>276.3044</v>
      </c>
      <c r="D94" s="138" t="inlineStr">
        <is>
          <t>Grand Total Sources</t>
        </is>
      </c>
      <c r="E94" s="139" t="n">
        <v>276.3044</v>
      </c>
    </row>
    <row r="95">
      <c r="A95" s="146" t="inlineStr">
        <is>
          <t>Balance Check: Uses $276.304mm = Sources $276.304mm</t>
        </is>
      </c>
    </row>
    <row r="97">
      <c r="A97" s="134" t="inlineStr">
        <is>
          <t>EQUITY CAP SUMMARY</t>
        </is>
      </c>
    </row>
    <row r="98">
      <c r="A98" s="136" t="inlineStr">
        <is>
          <t>Maximum Fund Equity</t>
        </is>
      </c>
      <c r="B98" s="147" t="n">
        <v>100</v>
      </c>
      <c r="C98" s="130" t="inlineStr">
        <is>
          <t>Fund constraint</t>
        </is>
      </c>
    </row>
    <row r="99">
      <c r="A99" s="136" t="inlineStr">
        <is>
          <t>Platform Equity</t>
        </is>
      </c>
      <c r="B99" s="147" t="n">
        <v>58.04600000000001</v>
      </c>
      <c r="C99" s="130" t="inlineStr">
        <is>
          <t>58.0% of cap</t>
        </is>
      </c>
    </row>
    <row r="100">
      <c r="A100" s="136" t="inlineStr">
        <is>
          <t>Add-On Equity (New)</t>
        </is>
      </c>
      <c r="B100" s="147" t="n">
        <v>41.95399999999999</v>
      </c>
      <c r="C100" s="130" t="inlineStr">
        <is>
          <t>9 funded add-ons</t>
        </is>
      </c>
    </row>
    <row r="101">
      <c r="A101" s="136" t="inlineStr">
        <is>
          <t>Total New Equity Deployed</t>
        </is>
      </c>
      <c r="B101" s="147" t="n">
        <v>100</v>
      </c>
      <c r="C101" s="130" t="inlineStr">
        <is>
          <t>100.0% of cap</t>
        </is>
      </c>
    </row>
    <row r="102">
      <c r="A102" s="136" t="inlineStr">
        <is>
          <t>Remaining Equity Capacity</t>
        </is>
      </c>
      <c r="B102" s="147" t="n">
        <v>0</v>
      </c>
      <c r="C102" s="130" t="inlineStr"/>
    </row>
    <row r="103">
      <c r="A103" s="136" t="inlineStr">
        <is>
          <t>Cash from BS (Acq. Funding)</t>
        </is>
      </c>
      <c r="B103" s="147" t="n">
        <v>21.80294043264278</v>
      </c>
      <c r="C103" s="130" t="inlineStr">
        <is>
          <t>Add-On 4, Add-On 5, Add-On 6, Add-On 8, Add-On 9, Add-On 10</t>
        </is>
      </c>
    </row>
    <row r="104">
      <c r="A104" s="136" t="inlineStr">
        <is>
          <t>Deals Funded</t>
        </is>
      </c>
      <c r="B104" s="148" t="n">
        <v>10</v>
      </c>
      <c r="C104" s="130" t="inlineStr">
        <is>
          <t>Platform + 9 add-ons</t>
        </is>
      </c>
    </row>
    <row r="105">
      <c r="A105" s="136" t="inlineStr">
        <is>
          <t>Deals Turned Off</t>
        </is>
      </c>
      <c r="B105" s="148" t="n">
        <v>1</v>
      </c>
      <c r="C105" s="130" t="inlineStr">
        <is>
          <t>Add-On 7</t>
        </is>
      </c>
    </row>
  </sheetData>
  <mergeCells count="1">
    <mergeCell ref="A63:F63"/>
  </mergeCells>
  <pageMargins left="0.75" right="0.75" top="1" bottom="1" header="0.5" footer="0.5"/>
</worksheet>
</file>

<file path=xl/worksheets/sheet20.xml><?xml version="1.0" encoding="utf-8"?>
<worksheet xmlns="http://schemas.openxmlformats.org/spreadsheetml/2006/main">
  <sheetPr filterMode="0">
    <tabColor rgb="FF843C0C"/>
    <outlinePr summaryBelow="1" summaryRight="1"/>
    <pageSetUpPr fitToPage="0"/>
  </sheetPr>
  <dimension ref="A1:BP69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baseColWidth="8" defaultColWidth="8.71484375" defaultRowHeight="15" zeroHeight="0" outlineLevelRow="0"/>
  <cols>
    <col width="38" customWidth="1" style="103" min="1" max="1"/>
    <col width="9" customWidth="1" style="103" min="3" max="62"/>
    <col width="11" customWidth="1" style="103" min="64" max="68"/>
  </cols>
  <sheetData>
    <row r="1" ht="19.5" customHeight="1" s="104">
      <c r="A1" s="105" t="inlineStr">
        <is>
          <t>Consolidated Debt Schedule – Monthly ($mm)</t>
        </is>
      </c>
    </row>
    <row r="3" ht="15" customHeight="1" s="104">
      <c r="A3" s="116" t="inlineStr">
        <is>
          <t>($mm)</t>
        </is>
      </c>
      <c r="C3" s="149" t="inlineStr">
        <is>
          <t>Oct-26</t>
        </is>
      </c>
      <c r="D3" s="149" t="inlineStr">
        <is>
          <t>Nov-26</t>
        </is>
      </c>
      <c r="E3" s="149" t="inlineStr">
        <is>
          <t>Dec-26</t>
        </is>
      </c>
      <c r="F3" s="149" t="inlineStr">
        <is>
          <t>Jan-27</t>
        </is>
      </c>
      <c r="G3" s="149" t="inlineStr">
        <is>
          <t>Feb-27</t>
        </is>
      </c>
      <c r="H3" s="149" t="inlineStr">
        <is>
          <t>Mar-27</t>
        </is>
      </c>
      <c r="I3" s="149" t="inlineStr">
        <is>
          <t>Apr-27</t>
        </is>
      </c>
      <c r="J3" s="149" t="inlineStr">
        <is>
          <t>May-27</t>
        </is>
      </c>
      <c r="K3" s="149" t="inlineStr">
        <is>
          <t>Jun-27</t>
        </is>
      </c>
      <c r="L3" s="149" t="inlineStr">
        <is>
          <t>Jul-27</t>
        </is>
      </c>
      <c r="M3" s="149" t="inlineStr">
        <is>
          <t>Aug-27</t>
        </is>
      </c>
      <c r="N3" s="149" t="inlineStr">
        <is>
          <t>Sep-27</t>
        </is>
      </c>
      <c r="O3" s="149" t="inlineStr">
        <is>
          <t>Oct-27</t>
        </is>
      </c>
      <c r="P3" s="149" t="inlineStr">
        <is>
          <t>Nov-27</t>
        </is>
      </c>
      <c r="Q3" s="149" t="inlineStr">
        <is>
          <t>Dec-27</t>
        </is>
      </c>
      <c r="R3" s="149" t="inlineStr">
        <is>
          <t>Jan-28</t>
        </is>
      </c>
      <c r="S3" s="149" t="inlineStr">
        <is>
          <t>Feb-28</t>
        </is>
      </c>
      <c r="T3" s="149" t="inlineStr">
        <is>
          <t>Mar-28</t>
        </is>
      </c>
      <c r="U3" s="149" t="inlineStr">
        <is>
          <t>Apr-28</t>
        </is>
      </c>
      <c r="V3" s="149" t="inlineStr">
        <is>
          <t>May-28</t>
        </is>
      </c>
      <c r="W3" s="149" t="inlineStr">
        <is>
          <t>Jun-28</t>
        </is>
      </c>
      <c r="X3" s="149" t="inlineStr">
        <is>
          <t>Jul-28</t>
        </is>
      </c>
      <c r="Y3" s="149" t="inlineStr">
        <is>
          <t>Aug-28</t>
        </is>
      </c>
      <c r="Z3" s="149" t="inlineStr">
        <is>
          <t>Sep-28</t>
        </is>
      </c>
      <c r="AA3" s="149" t="inlineStr">
        <is>
          <t>Oct-28</t>
        </is>
      </c>
      <c r="AB3" s="149" t="inlineStr">
        <is>
          <t>Nov-28</t>
        </is>
      </c>
      <c r="AC3" s="149" t="inlineStr">
        <is>
          <t>Dec-28</t>
        </is>
      </c>
      <c r="AD3" s="149" t="inlineStr">
        <is>
          <t>Jan-29</t>
        </is>
      </c>
      <c r="AE3" s="149" t="inlineStr">
        <is>
          <t>Feb-29</t>
        </is>
      </c>
      <c r="AF3" s="149" t="inlineStr">
        <is>
          <t>Mar-29</t>
        </is>
      </c>
      <c r="AG3" s="149" t="inlineStr">
        <is>
          <t>Apr-29</t>
        </is>
      </c>
      <c r="AH3" s="149" t="inlineStr">
        <is>
          <t>May-29</t>
        </is>
      </c>
      <c r="AI3" s="149" t="inlineStr">
        <is>
          <t>Jun-29</t>
        </is>
      </c>
      <c r="AJ3" s="149" t="inlineStr">
        <is>
          <t>Jul-29</t>
        </is>
      </c>
      <c r="AK3" s="149" t="inlineStr">
        <is>
          <t>Aug-29</t>
        </is>
      </c>
      <c r="AL3" s="149" t="inlineStr">
        <is>
          <t>Sep-29</t>
        </is>
      </c>
      <c r="AM3" s="149" t="inlineStr">
        <is>
          <t>Oct-29</t>
        </is>
      </c>
      <c r="AN3" s="149" t="inlineStr">
        <is>
          <t>Nov-29</t>
        </is>
      </c>
      <c r="AO3" s="149" t="inlineStr">
        <is>
          <t>Dec-29</t>
        </is>
      </c>
      <c r="AP3" s="149" t="inlineStr">
        <is>
          <t>Jan-30</t>
        </is>
      </c>
      <c r="AQ3" s="149" t="inlineStr">
        <is>
          <t>Feb-30</t>
        </is>
      </c>
      <c r="AR3" s="149" t="inlineStr">
        <is>
          <t>Mar-30</t>
        </is>
      </c>
      <c r="AS3" s="149" t="inlineStr">
        <is>
          <t>Apr-30</t>
        </is>
      </c>
      <c r="AT3" s="149" t="inlineStr">
        <is>
          <t>May-30</t>
        </is>
      </c>
      <c r="AU3" s="149" t="inlineStr">
        <is>
          <t>Jun-30</t>
        </is>
      </c>
      <c r="AV3" s="149" t="inlineStr">
        <is>
          <t>Jul-30</t>
        </is>
      </c>
      <c r="AW3" s="149" t="inlineStr">
        <is>
          <t>Aug-30</t>
        </is>
      </c>
      <c r="AX3" s="149" t="inlineStr">
        <is>
          <t>Sep-30</t>
        </is>
      </c>
      <c r="AY3" s="149" t="inlineStr">
        <is>
          <t>Oct-30</t>
        </is>
      </c>
      <c r="AZ3" s="149" t="inlineStr">
        <is>
          <t>Nov-30</t>
        </is>
      </c>
      <c r="BA3" s="149" t="inlineStr">
        <is>
          <t>Dec-30</t>
        </is>
      </c>
      <c r="BB3" s="149" t="inlineStr">
        <is>
          <t>Jan-31</t>
        </is>
      </c>
      <c r="BC3" s="149" t="inlineStr">
        <is>
          <t>Feb-31</t>
        </is>
      </c>
      <c r="BD3" s="149" t="inlineStr">
        <is>
          <t>Mar-31</t>
        </is>
      </c>
      <c r="BE3" s="149" t="inlineStr">
        <is>
          <t>Apr-31</t>
        </is>
      </c>
      <c r="BF3" s="149" t="inlineStr">
        <is>
          <t>May-31</t>
        </is>
      </c>
      <c r="BG3" s="149" t="inlineStr">
        <is>
          <t>Jun-31</t>
        </is>
      </c>
      <c r="BH3" s="149" t="inlineStr">
        <is>
          <t>Jul-31</t>
        </is>
      </c>
      <c r="BI3" s="149" t="inlineStr">
        <is>
          <t>Aug-31</t>
        </is>
      </c>
      <c r="BJ3" s="149" t="inlineStr">
        <is>
          <t>Sep-31</t>
        </is>
      </c>
      <c r="BL3" s="150" t="inlineStr">
        <is>
          <t>FY1</t>
        </is>
      </c>
      <c r="BM3" s="150" t="inlineStr">
        <is>
          <t>FY2</t>
        </is>
      </c>
      <c r="BN3" s="150" t="inlineStr">
        <is>
          <t>FY3</t>
        </is>
      </c>
      <c r="BO3" s="150" t="inlineStr">
        <is>
          <t>FY4</t>
        </is>
      </c>
      <c r="BP3" s="150" t="inlineStr">
        <is>
          <t>FY5</t>
        </is>
      </c>
    </row>
    <row r="4" ht="15" customHeight="1" s="104">
      <c r="A4" s="106" t="inlineStr">
        <is>
          <t>CONSOLIDATED DEBT FACILITY</t>
        </is>
      </c>
    </row>
    <row r="5" ht="15" customHeight="1" s="104">
      <c r="A5" s="107" t="inlineStr">
        <is>
          <t>Beginning Balance</t>
        </is>
      </c>
      <c r="C5" s="156">
        <f>0</f>
        <v/>
      </c>
      <c r="D5" s="156">
        <f>C19</f>
        <v/>
      </c>
      <c r="E5" s="156">
        <f>D19</f>
        <v/>
      </c>
      <c r="F5" s="156">
        <f>E19</f>
        <v/>
      </c>
      <c r="G5" s="156">
        <f>F19</f>
        <v/>
      </c>
      <c r="H5" s="156">
        <f>G19</f>
        <v/>
      </c>
      <c r="I5" s="156">
        <f>H19</f>
        <v/>
      </c>
      <c r="J5" s="156">
        <f>I19</f>
        <v/>
      </c>
      <c r="K5" s="156">
        <f>J19</f>
        <v/>
      </c>
      <c r="L5" s="156">
        <f>K19</f>
        <v/>
      </c>
      <c r="M5" s="156">
        <f>L19</f>
        <v/>
      </c>
      <c r="N5" s="156">
        <f>M19</f>
        <v/>
      </c>
      <c r="O5" s="156">
        <f>N19</f>
        <v/>
      </c>
      <c r="P5" s="156">
        <f>O19</f>
        <v/>
      </c>
      <c r="Q5" s="156">
        <f>P19</f>
        <v/>
      </c>
      <c r="R5" s="156">
        <f>Q19</f>
        <v/>
      </c>
      <c r="S5" s="156">
        <f>R19</f>
        <v/>
      </c>
      <c r="T5" s="156">
        <f>S19</f>
        <v/>
      </c>
      <c r="U5" s="156">
        <f>T19</f>
        <v/>
      </c>
      <c r="V5" s="156">
        <f>U19</f>
        <v/>
      </c>
      <c r="W5" s="156">
        <f>V19</f>
        <v/>
      </c>
      <c r="X5" s="156">
        <f>W19</f>
        <v/>
      </c>
      <c r="Y5" s="156">
        <f>X19</f>
        <v/>
      </c>
      <c r="Z5" s="156">
        <f>Y19</f>
        <v/>
      </c>
      <c r="AA5" s="156">
        <f>Z19</f>
        <v/>
      </c>
      <c r="AB5" s="156">
        <f>AA19</f>
        <v/>
      </c>
      <c r="AC5" s="156">
        <f>AB19</f>
        <v/>
      </c>
      <c r="AD5" s="156">
        <f>AC19</f>
        <v/>
      </c>
      <c r="AE5" s="156">
        <f>AD19</f>
        <v/>
      </c>
      <c r="AF5" s="156">
        <f>AE19</f>
        <v/>
      </c>
      <c r="AG5" s="156">
        <f>AF19</f>
        <v/>
      </c>
      <c r="AH5" s="156">
        <f>AG19</f>
        <v/>
      </c>
      <c r="AI5" s="156">
        <f>AH19</f>
        <v/>
      </c>
      <c r="AJ5" s="156">
        <f>AI19</f>
        <v/>
      </c>
      <c r="AK5" s="156">
        <f>AJ19</f>
        <v/>
      </c>
      <c r="AL5" s="156">
        <f>AK19</f>
        <v/>
      </c>
      <c r="AM5" s="156">
        <f>AL19</f>
        <v/>
      </c>
      <c r="AN5" s="156">
        <f>AM19</f>
        <v/>
      </c>
      <c r="AO5" s="156">
        <f>AN19</f>
        <v/>
      </c>
      <c r="AP5" s="156">
        <f>AO19</f>
        <v/>
      </c>
      <c r="AQ5" s="156">
        <f>AP19</f>
        <v/>
      </c>
      <c r="AR5" s="156">
        <f>AQ19</f>
        <v/>
      </c>
      <c r="AS5" s="156">
        <f>AR19</f>
        <v/>
      </c>
      <c r="AT5" s="156">
        <f>AS19</f>
        <v/>
      </c>
      <c r="AU5" s="156">
        <f>AT19</f>
        <v/>
      </c>
      <c r="AV5" s="156">
        <f>AU19</f>
        <v/>
      </c>
      <c r="AW5" s="156">
        <f>AV19</f>
        <v/>
      </c>
      <c r="AX5" s="156">
        <f>AW19</f>
        <v/>
      </c>
      <c r="AY5" s="156">
        <f>AX19</f>
        <v/>
      </c>
      <c r="AZ5" s="156">
        <f>AY19</f>
        <v/>
      </c>
      <c r="BA5" s="156">
        <f>AZ19</f>
        <v/>
      </c>
      <c r="BB5" s="156">
        <f>BA19</f>
        <v/>
      </c>
      <c r="BC5" s="156">
        <f>BB19</f>
        <v/>
      </c>
      <c r="BD5" s="156">
        <f>BC19</f>
        <v/>
      </c>
      <c r="BE5" s="156">
        <f>BD19</f>
        <v/>
      </c>
      <c r="BF5" s="156">
        <f>BE19</f>
        <v/>
      </c>
      <c r="BG5" s="156">
        <f>BF19</f>
        <v/>
      </c>
      <c r="BH5" s="156">
        <f>BG19</f>
        <v/>
      </c>
      <c r="BI5" s="156">
        <f>BH19</f>
        <v/>
      </c>
      <c r="BJ5" s="156">
        <f>BI19</f>
        <v/>
      </c>
      <c r="BL5" s="157">
        <f>C5</f>
        <v/>
      </c>
      <c r="BM5" s="157">
        <f>O5</f>
        <v/>
      </c>
      <c r="BN5" s="157">
        <f>AA5</f>
        <v/>
      </c>
      <c r="BO5" s="157">
        <f>AM5</f>
        <v/>
      </c>
      <c r="BP5" s="157">
        <f>AY5</f>
        <v/>
      </c>
    </row>
    <row r="6" ht="15" customHeight="1" s="104">
      <c r="A6" s="107" t="inlineStr">
        <is>
          <t xml:space="preserve">    Platform Initial Draw</t>
        </is>
      </c>
      <c r="C6" s="156">
        <f>Assumptions!B5*Assumptions!B6*Assumptions!B8</f>
        <v/>
      </c>
      <c r="D6" s="156">
        <f>0</f>
        <v/>
      </c>
      <c r="E6" s="156">
        <f>0</f>
        <v/>
      </c>
      <c r="F6" s="156">
        <f>0</f>
        <v/>
      </c>
      <c r="G6" s="156">
        <f>0</f>
        <v/>
      </c>
      <c r="H6" s="156">
        <f>0</f>
        <v/>
      </c>
      <c r="I6" s="156">
        <f>0</f>
        <v/>
      </c>
      <c r="J6" s="156">
        <f>0</f>
        <v/>
      </c>
      <c r="K6" s="156">
        <f>0</f>
        <v/>
      </c>
      <c r="L6" s="156">
        <f>0</f>
        <v/>
      </c>
      <c r="M6" s="156">
        <f>0</f>
        <v/>
      </c>
      <c r="N6" s="156">
        <f>0</f>
        <v/>
      </c>
      <c r="O6" s="156">
        <f>0</f>
        <v/>
      </c>
      <c r="P6" s="156">
        <f>0</f>
        <v/>
      </c>
      <c r="Q6" s="156">
        <f>0</f>
        <v/>
      </c>
      <c r="R6" s="156">
        <f>0</f>
        <v/>
      </c>
      <c r="S6" s="156">
        <f>0</f>
        <v/>
      </c>
      <c r="T6" s="156">
        <f>0</f>
        <v/>
      </c>
      <c r="U6" s="156">
        <f>0</f>
        <v/>
      </c>
      <c r="V6" s="156">
        <f>0</f>
        <v/>
      </c>
      <c r="W6" s="156">
        <f>0</f>
        <v/>
      </c>
      <c r="X6" s="156">
        <f>0</f>
        <v/>
      </c>
      <c r="Y6" s="156">
        <f>0</f>
        <v/>
      </c>
      <c r="Z6" s="156">
        <f>0</f>
        <v/>
      </c>
      <c r="AA6" s="156">
        <f>0</f>
        <v/>
      </c>
      <c r="AB6" s="156">
        <f>0</f>
        <v/>
      </c>
      <c r="AC6" s="156">
        <f>0</f>
        <v/>
      </c>
      <c r="AD6" s="156">
        <f>0</f>
        <v/>
      </c>
      <c r="AE6" s="156">
        <f>0</f>
        <v/>
      </c>
      <c r="AF6" s="156">
        <f>0</f>
        <v/>
      </c>
      <c r="AG6" s="156">
        <f>0</f>
        <v/>
      </c>
      <c r="AH6" s="156">
        <f>0</f>
        <v/>
      </c>
      <c r="AI6" s="156">
        <f>0</f>
        <v/>
      </c>
      <c r="AJ6" s="156">
        <f>0</f>
        <v/>
      </c>
      <c r="AK6" s="156">
        <f>0</f>
        <v/>
      </c>
      <c r="AL6" s="156">
        <f>0</f>
        <v/>
      </c>
      <c r="AM6" s="156">
        <f>0</f>
        <v/>
      </c>
      <c r="AN6" s="156">
        <f>0</f>
        <v/>
      </c>
      <c r="AO6" s="156">
        <f>0</f>
        <v/>
      </c>
      <c r="AP6" s="156">
        <f>0</f>
        <v/>
      </c>
      <c r="AQ6" s="156">
        <f>0</f>
        <v/>
      </c>
      <c r="AR6" s="156">
        <f>0</f>
        <v/>
      </c>
      <c r="AS6" s="156">
        <f>0</f>
        <v/>
      </c>
      <c r="AT6" s="156">
        <f>0</f>
        <v/>
      </c>
      <c r="AU6" s="156">
        <f>0</f>
        <v/>
      </c>
      <c r="AV6" s="156">
        <f>0</f>
        <v/>
      </c>
      <c r="AW6" s="156">
        <f>0</f>
        <v/>
      </c>
      <c r="AX6" s="156">
        <f>0</f>
        <v/>
      </c>
      <c r="AY6" s="156">
        <f>0</f>
        <v/>
      </c>
      <c r="AZ6" s="156">
        <f>0</f>
        <v/>
      </c>
      <c r="BA6" s="156">
        <f>0</f>
        <v/>
      </c>
      <c r="BB6" s="156">
        <f>0</f>
        <v/>
      </c>
      <c r="BC6" s="156">
        <f>0</f>
        <v/>
      </c>
      <c r="BD6" s="156">
        <f>0</f>
        <v/>
      </c>
      <c r="BE6" s="156">
        <f>0</f>
        <v/>
      </c>
      <c r="BF6" s="156">
        <f>0</f>
        <v/>
      </c>
      <c r="BG6" s="156">
        <f>0</f>
        <v/>
      </c>
      <c r="BH6" s="156">
        <f>0</f>
        <v/>
      </c>
      <c r="BI6" s="156">
        <f>0</f>
        <v/>
      </c>
      <c r="BJ6" s="156">
        <f>0</f>
        <v/>
      </c>
      <c r="BL6" s="157">
        <f>C6+D6+E6+F6+G6+H6+I6+J6+K6+L6+M6+N6</f>
        <v/>
      </c>
      <c r="BM6" s="157">
        <f>O6+P6+Q6+R6+S6+T6+U6+V6+W6+X6+Y6+Z6</f>
        <v/>
      </c>
      <c r="BN6" s="157">
        <f>AA6+AB6+AC6+AD6+AE6+AF6+AG6+AH6+AI6+AJ6+AK6+AL6</f>
        <v/>
      </c>
      <c r="BO6" s="157">
        <f>AM6+AN6+AO6+AP6+AQ6+AR6+AS6+AT6+AU6+AV6+AW6+AX6</f>
        <v/>
      </c>
      <c r="BP6" s="157">
        <f>AY6+AZ6+BA6+BB6+BC6+BD6+BE6+BF6+BG6+BH6+BI6+BJ6</f>
        <v/>
      </c>
    </row>
    <row r="7" ht="15" customHeight="1" s="104">
      <c r="A7" s="107" t="inlineStr">
        <is>
          <t xml:space="preserve">    Add-On 1 Debt Draw</t>
        </is>
      </c>
      <c r="C7" s="156">
        <f>IF(AND(Assumptions!B51&lt;&gt;"",IFERROR(DATEVALUE(TEXT(Assumptions!B51,"MM/DD/YYYY")),0)&gt;=DATE(2026,10,1),IFERROR(DATEVALUE(TEXT(Assumptions!B51,"MM/DD/YYYY")),0)&lt;=DATE(2026,10,31)),MIN(Assumptions!G51,MAX(0,((('Consolidated P&amp;L'!C23)*12/1+Assumptions!H51)*Assumptions!B8)-C5)),0)</f>
        <v/>
      </c>
      <c r="D7" s="156">
        <f>IF(AND(Assumptions!B51&lt;&gt;"",IFERROR(DATEVALUE(TEXT(Assumptions!B51,"MM/DD/YYYY")),0)&gt;=DATE(2026,11,1),IFERROR(DATEVALUE(TEXT(Assumptions!B51,"MM/DD/YYYY")),0)&lt;=DATE(2026,11,30)),MIN(Assumptions!G51,MAX(0,((('Consolidated P&amp;L'!C23+'Consolidated P&amp;L'!D23)*12/2+Assumptions!H51)*Assumptions!B8)-D5)),0)</f>
        <v/>
      </c>
      <c r="E7" s="156">
        <f>IF(AND(Assumptions!B51&lt;&gt;"",IFERROR(DATEVALUE(TEXT(Assumptions!B51,"MM/DD/YYYY")),0)&gt;=DATE(2026,12,1),IFERROR(DATEVALUE(TEXT(Assumptions!B51,"MM/DD/YYYY")),0)&lt;=DATE(2026,12,31)),MIN(Assumptions!G51,MAX(0,((('Consolidated P&amp;L'!C23+'Consolidated P&amp;L'!D23+'Consolidated P&amp;L'!E23)*12/3+Assumptions!H51)*Assumptions!B8)-E5)),0)</f>
        <v/>
      </c>
      <c r="F7" s="156">
        <f>IF(AND(Assumptions!B51&lt;&gt;"",IFERROR(DATEVALUE(TEXT(Assumptions!B51,"MM/DD/YYYY")),0)&gt;=DATE(2027,1,1),IFERROR(DATEVALUE(TEXT(Assumptions!B51,"MM/DD/YYYY")),0)&lt;=DATE(2027,1,31)),MIN(Assumptions!G51,MAX(0,((('Consolidated P&amp;L'!C23+'Consolidated P&amp;L'!D23+'Consolidated P&amp;L'!E23+'Consolidated P&amp;L'!F23)*12/4+Assumptions!H51)*Assumptions!B8)-F5)),0)</f>
        <v/>
      </c>
      <c r="G7" s="156">
        <f>IF(AND(Assumptions!B51&lt;&gt;"",IFERROR(DATEVALUE(TEXT(Assumptions!B51,"MM/DD/YYYY")),0)&gt;=DATE(2027,2,1),IFERROR(DATEVALUE(TEXT(Assumptions!B51,"MM/DD/YYYY")),0)&lt;=DATE(2027,2,28)),MIN(Assumptions!G51,MAX(0,((('Consolidated P&amp;L'!C23+'Consolidated P&amp;L'!D23+'Consolidated P&amp;L'!E23+'Consolidated P&amp;L'!F23+'Consolidated P&amp;L'!G23)*12/5+Assumptions!H51)*Assumptions!B8)-G5)),0)</f>
        <v/>
      </c>
      <c r="H7" s="156">
        <f>IF(AND(Assumptions!B51&lt;&gt;"",IFERROR(DATEVALUE(TEXT(Assumptions!B51,"MM/DD/YYYY")),0)&gt;=DATE(2027,3,1),IFERROR(DATEVALUE(TEXT(Assumptions!B51,"MM/DD/YYYY")),0)&lt;=DATE(2027,3,31)),MIN(Assumptions!G51,MAX(0,((('Consolidated P&amp;L'!C23+'Consolidated P&amp;L'!D23+'Consolidated P&amp;L'!E23+'Consolidated P&amp;L'!F23+'Consolidated P&amp;L'!G23+'Consolidated P&amp;L'!H23)*12/6+Assumptions!H51)*Assumptions!B8)-H5)),0)</f>
        <v/>
      </c>
      <c r="I7" s="156">
        <f>IF(AND(Assumptions!B51&lt;&gt;"",IFERROR(DATEVALUE(TEXT(Assumptions!B51,"MM/DD/YYYY")),0)&gt;=DATE(2027,4,1),IFERROR(DATEVALUE(TEXT(Assumptions!B51,"MM/DD/YYYY")),0)&lt;=DATE(2027,4,30)),MIN(Assumptions!G51,MAX(0,((('Consolidated P&amp;L'!C23+'Consolidated P&amp;L'!D23+'Consolidated P&amp;L'!E23+'Consolidated P&amp;L'!F23+'Consolidated P&amp;L'!G23+'Consolidated P&amp;L'!H23+'Consolidated P&amp;L'!I23)*12/7+Assumptions!H51)*Assumptions!B8)-I5)),0)</f>
        <v/>
      </c>
      <c r="J7" s="156">
        <f>IF(AND(Assumptions!B51&lt;&gt;"",IFERROR(DATEVALUE(TEXT(Assumptions!B51,"MM/DD/YYYY")),0)&gt;=DATE(2027,5,1),IFERROR(DATEVALUE(TEXT(Assumptions!B51,"MM/DD/YYYY")),0)&lt;=DATE(2027,5,31)),MIN(Assumptions!G51,MAX(0,((('Consolidated P&amp;L'!C23+'Consolidated P&amp;L'!D23+'Consolidated P&amp;L'!E23+'Consolidated P&amp;L'!F23+'Consolidated P&amp;L'!G23+'Consolidated P&amp;L'!H23+'Consolidated P&amp;L'!I23+'Consolidated P&amp;L'!J23)*12/8+Assumptions!H51)*Assumptions!B8)-J5)),0)</f>
        <v/>
      </c>
      <c r="K7" s="156">
        <f>IF(AND(Assumptions!B51&lt;&gt;"",IFERROR(DATEVALUE(TEXT(Assumptions!B51,"MM/DD/YYYY")),0)&gt;=DATE(2027,6,1),IFERROR(DATEVALUE(TEXT(Assumptions!B51,"MM/DD/YYYY")),0)&lt;=DATE(2027,6,30)),MIN(Assumptions!G51,MAX(0,((('Consolidated P&amp;L'!C23+'Consolidated P&amp;L'!D23+'Consolidated P&amp;L'!E23+'Consolidated P&amp;L'!F23+'Consolidated P&amp;L'!G23+'Consolidated P&amp;L'!H23+'Consolidated P&amp;L'!I23+'Consolidated P&amp;L'!J23+'Consolidated P&amp;L'!K23)*12/9+Assumptions!H51)*Assumptions!B8)-K5)),0)</f>
        <v/>
      </c>
      <c r="L7" s="156">
        <f>IF(AND(Assumptions!B51&lt;&gt;"",IFERROR(DATEVALUE(TEXT(Assumptions!B51,"MM/DD/YYYY")),0)&gt;=DATE(2027,7,1),IFERROR(DATEVALUE(TEXT(Assumptions!B51,"MM/DD/YYYY")),0)&lt;=DATE(2027,7,31)),MIN(Assumptions!G51,MAX(0,((('Consolidated P&amp;L'!C23+'Consolidated P&amp;L'!D23+'Consolidated P&amp;L'!E23+'Consolidated P&amp;L'!F23+'Consolidated P&amp;L'!G23+'Consolidated P&amp;L'!H23+'Consolidated P&amp;L'!I23+'Consolidated P&amp;L'!J23+'Consolidated P&amp;L'!K23+'Consolidated P&amp;L'!L23)*12/10+Assumptions!H51)*Assumptions!B8)-L5)),0)</f>
        <v/>
      </c>
      <c r="M7" s="156">
        <f>IF(AND(Assumptions!B51&lt;&gt;"",IFERROR(DATEVALUE(TEXT(Assumptions!B51,"MM/DD/YYYY")),0)&gt;=DATE(2027,8,1),IFERROR(DATEVALUE(TEXT(Assumptions!B51,"MM/DD/YYYY")),0)&lt;=DATE(2027,8,31)),MIN(Assumptions!G51,MAX(0,((('Consolidated P&amp;L'!C23+'Consolidated P&amp;L'!D23+'Consolidated P&amp;L'!E23+'Consolidated P&amp;L'!F23+'Consolidated P&amp;L'!G23+'Consolidated P&amp;L'!H23+'Consolidated P&amp;L'!I23+'Consolidated P&amp;L'!J23+'Consolidated P&amp;L'!K23+'Consolidated P&amp;L'!L23+'Consolidated P&amp;L'!M23)*12/11+Assumptions!H51)*Assumptions!B8)-M5)),0)</f>
        <v/>
      </c>
      <c r="N7" s="156">
        <f>IF(AND(Assumptions!B51&lt;&gt;"",IFERROR(DATEVALUE(TEXT(Assumptions!B51,"MM/DD/YYYY")),0)&gt;=DATE(2027,9,1),IFERROR(DATEVALUE(TEXT(Assumptions!B51,"MM/DD/YYYY")),0)&lt;=DATE(2027,9,30)),MIN(Assumptions!G51,MAX(0,((('Consolidated P&amp;L'!C23+'Consolidated P&amp;L'!D23+'Consolidated P&amp;L'!E23+'Consolidated P&amp;L'!F23+'Consolidated P&amp;L'!G23+'Consolidated P&amp;L'!H23+'Consolidated P&amp;L'!I23+'Consolidated P&amp;L'!J23+'Consolidated P&amp;L'!K23+'Consolidated P&amp;L'!L23+'Consolidated P&amp;L'!M23+'Consolidated P&amp;L'!N23)*12/12+Assumptions!H51)*Assumptions!B8)-N5)),0)</f>
        <v/>
      </c>
      <c r="O7" s="156">
        <f>IF(AND(Assumptions!B51&lt;&gt;"",IFERROR(DATEVALUE(TEXT(Assumptions!B51,"MM/DD/YYYY")),0)&gt;=DATE(2027,10,1),IFERROR(DATEVALUE(TEXT(Assumptions!B51,"MM/DD/YYYY")),0)&lt;=DATE(2027,10,31)),MIN(Assumptions!G51,MAX(0,((('Consolidated P&amp;L'!D23+'Consolidated P&amp;L'!E23+'Consolidated P&amp;L'!F23+'Consolidated P&amp;L'!G23+'Consolidated P&amp;L'!H23+'Consolidated P&amp;L'!I23+'Consolidated P&amp;L'!J23+'Consolidated P&amp;L'!K23+'Consolidated P&amp;L'!L23+'Consolidated P&amp;L'!M23+'Consolidated P&amp;L'!N23+'Consolidated P&amp;L'!O23)*12/12+Assumptions!H51)*Assumptions!B8)-O5)),0)</f>
        <v/>
      </c>
      <c r="P7" s="156">
        <f>IF(AND(Assumptions!B51&lt;&gt;"",IFERROR(DATEVALUE(TEXT(Assumptions!B51,"MM/DD/YYYY")),0)&gt;=DATE(2027,11,1),IFERROR(DATEVALUE(TEXT(Assumptions!B51,"MM/DD/YYYY")),0)&lt;=DATE(2027,11,30)),MIN(Assumptions!G51,MAX(0,((('Consolidated P&amp;L'!E23+'Consolidated P&amp;L'!F23+'Consolidated P&amp;L'!G23+'Consolidated P&amp;L'!H23+'Consolidated P&amp;L'!I23+'Consolidated P&amp;L'!J23+'Consolidated P&amp;L'!K23+'Consolidated P&amp;L'!L23+'Consolidated P&amp;L'!M23+'Consolidated P&amp;L'!N23+'Consolidated P&amp;L'!O23+'Consolidated P&amp;L'!P23)*12/12+Assumptions!H51)*Assumptions!B8)-P5)),0)</f>
        <v/>
      </c>
      <c r="Q7" s="156">
        <f>IF(AND(Assumptions!B51&lt;&gt;"",IFERROR(DATEVALUE(TEXT(Assumptions!B51,"MM/DD/YYYY")),0)&gt;=DATE(2027,12,1),IFERROR(DATEVALUE(TEXT(Assumptions!B51,"MM/DD/YYYY")),0)&lt;=DATE(2027,12,31)),MIN(Assumptions!G51,MAX(0,((('Consolidated P&amp;L'!F23+'Consolidated P&amp;L'!G23+'Consolidated P&amp;L'!H23+'Consolidated P&amp;L'!I23+'Consolidated P&amp;L'!J23+'Consolidated P&amp;L'!K23+'Consolidated P&amp;L'!L23+'Consolidated P&amp;L'!M23+'Consolidated P&amp;L'!N23+'Consolidated P&amp;L'!O23+'Consolidated P&amp;L'!P23+'Consolidated P&amp;L'!Q23)*12/12+Assumptions!H51)*Assumptions!B8)-Q5)),0)</f>
        <v/>
      </c>
      <c r="R7" s="156">
        <f>IF(AND(Assumptions!B51&lt;&gt;"",IFERROR(DATEVALUE(TEXT(Assumptions!B51,"MM/DD/YYYY")),0)&gt;=DATE(2028,1,1),IFERROR(DATEVALUE(TEXT(Assumptions!B51,"MM/DD/YYYY")),0)&lt;=DATE(2028,1,31)),MIN(Assumptions!G51,MAX(0,((('Consolidated P&amp;L'!G23+'Consolidated P&amp;L'!H23+'Consolidated P&amp;L'!I23+'Consolidated P&amp;L'!J23+'Consolidated P&amp;L'!K23+'Consolidated P&amp;L'!L23+'Consolidated P&amp;L'!M23+'Consolidated P&amp;L'!N23+'Consolidated P&amp;L'!O23+'Consolidated P&amp;L'!P23+'Consolidated P&amp;L'!Q23+'Consolidated P&amp;L'!R23)*12/12+Assumptions!H51)*Assumptions!B8)-R5)),0)</f>
        <v/>
      </c>
      <c r="S7" s="156">
        <f>IF(AND(Assumptions!B51&lt;&gt;"",IFERROR(DATEVALUE(TEXT(Assumptions!B51,"MM/DD/YYYY")),0)&gt;=DATE(2028,2,1),IFERROR(DATEVALUE(TEXT(Assumptions!B51,"MM/DD/YYYY")),0)&lt;=DATE(2028,2,29)),MIN(Assumptions!G51,MAX(0,((('Consolidated P&amp;L'!H23+'Consolidated P&amp;L'!I23+'Consolidated P&amp;L'!J23+'Consolidated P&amp;L'!K23+'Consolidated P&amp;L'!L23+'Consolidated P&amp;L'!M23+'Consolidated P&amp;L'!N23+'Consolidated P&amp;L'!O23+'Consolidated P&amp;L'!P23+'Consolidated P&amp;L'!Q23+'Consolidated P&amp;L'!R23+'Consolidated P&amp;L'!S23)*12/12+Assumptions!H51)*Assumptions!B8)-S5)),0)</f>
        <v/>
      </c>
      <c r="T7" s="156">
        <f>IF(AND(Assumptions!B51&lt;&gt;"",IFERROR(DATEVALUE(TEXT(Assumptions!B51,"MM/DD/YYYY")),0)&gt;=DATE(2028,3,1),IFERROR(DATEVALUE(TEXT(Assumptions!B51,"MM/DD/YYYY")),0)&lt;=DATE(2028,3,31)),MIN(Assumptions!G51,MAX(0,((('Consolidated P&amp;L'!I23+'Consolidated P&amp;L'!J23+'Consolidated P&amp;L'!K23+'Consolidated P&amp;L'!L23+'Consolidated P&amp;L'!M23+'Consolidated P&amp;L'!N23+'Consolidated P&amp;L'!O23+'Consolidated P&amp;L'!P23+'Consolidated P&amp;L'!Q23+'Consolidated P&amp;L'!R23+'Consolidated P&amp;L'!S23+'Consolidated P&amp;L'!T23)*12/12+Assumptions!H51)*Assumptions!B8)-T5)),0)</f>
        <v/>
      </c>
      <c r="U7" s="156">
        <f>IF(AND(Assumptions!B51&lt;&gt;"",IFERROR(DATEVALUE(TEXT(Assumptions!B51,"MM/DD/YYYY")),0)&gt;=DATE(2028,4,1),IFERROR(DATEVALUE(TEXT(Assumptions!B51,"MM/DD/YYYY")),0)&lt;=DATE(2028,4,30)),MIN(Assumptions!G51,MAX(0,((('Consolidated P&amp;L'!J23+'Consolidated P&amp;L'!K23+'Consolidated P&amp;L'!L23+'Consolidated P&amp;L'!M23+'Consolidated P&amp;L'!N23+'Consolidated P&amp;L'!O23+'Consolidated P&amp;L'!P23+'Consolidated P&amp;L'!Q23+'Consolidated P&amp;L'!R23+'Consolidated P&amp;L'!S23+'Consolidated P&amp;L'!T23+'Consolidated P&amp;L'!U23)*12/12+Assumptions!H51)*Assumptions!B8)-U5)),0)</f>
        <v/>
      </c>
      <c r="V7" s="156">
        <f>IF(AND(Assumptions!B51&lt;&gt;"",IFERROR(DATEVALUE(TEXT(Assumptions!B51,"MM/DD/YYYY")),0)&gt;=DATE(2028,5,1),IFERROR(DATEVALUE(TEXT(Assumptions!B51,"MM/DD/YYYY")),0)&lt;=DATE(2028,5,31)),MIN(Assumptions!G51,MAX(0,((('Consolidated P&amp;L'!K23+'Consolidated P&amp;L'!L23+'Consolidated P&amp;L'!M23+'Consolidated P&amp;L'!N23+'Consolidated P&amp;L'!O23+'Consolidated P&amp;L'!P23+'Consolidated P&amp;L'!Q23+'Consolidated P&amp;L'!R23+'Consolidated P&amp;L'!S23+'Consolidated P&amp;L'!T23+'Consolidated P&amp;L'!U23+'Consolidated P&amp;L'!V23)*12/12+Assumptions!H51)*Assumptions!B8)-V5)),0)</f>
        <v/>
      </c>
      <c r="W7" s="156">
        <f>IF(AND(Assumptions!B51&lt;&gt;"",IFERROR(DATEVALUE(TEXT(Assumptions!B51,"MM/DD/YYYY")),0)&gt;=DATE(2028,6,1),IFERROR(DATEVALUE(TEXT(Assumptions!B51,"MM/DD/YYYY")),0)&lt;=DATE(2028,6,30)),MIN(Assumptions!G51,MAX(0,((('Consolidated P&amp;L'!L23+'Consolidated P&amp;L'!M23+'Consolidated P&amp;L'!N23+'Consolidated P&amp;L'!O23+'Consolidated P&amp;L'!P23+'Consolidated P&amp;L'!Q23+'Consolidated P&amp;L'!R23+'Consolidated P&amp;L'!S23+'Consolidated P&amp;L'!T23+'Consolidated P&amp;L'!U23+'Consolidated P&amp;L'!V23+'Consolidated P&amp;L'!W23)*12/12+Assumptions!H51)*Assumptions!B8)-W5)),0)</f>
        <v/>
      </c>
      <c r="X7" s="156">
        <f>IF(AND(Assumptions!B51&lt;&gt;"",IFERROR(DATEVALUE(TEXT(Assumptions!B51,"MM/DD/YYYY")),0)&gt;=DATE(2028,7,1),IFERROR(DATEVALUE(TEXT(Assumptions!B51,"MM/DD/YYYY")),0)&lt;=DATE(2028,7,31)),MIN(Assumptions!G51,MAX(0,((('Consolidated P&amp;L'!M23+'Consolidated P&amp;L'!N23+'Consolidated P&amp;L'!O23+'Consolidated P&amp;L'!P23+'Consolidated P&amp;L'!Q23+'Consolidated P&amp;L'!R23+'Consolidated P&amp;L'!S23+'Consolidated P&amp;L'!T23+'Consolidated P&amp;L'!U23+'Consolidated P&amp;L'!V23+'Consolidated P&amp;L'!W23+'Consolidated P&amp;L'!X23)*12/12+Assumptions!H51)*Assumptions!B8)-X5)),0)</f>
        <v/>
      </c>
      <c r="Y7" s="156">
        <f>IF(AND(Assumptions!B51&lt;&gt;"",IFERROR(DATEVALUE(TEXT(Assumptions!B51,"MM/DD/YYYY")),0)&gt;=DATE(2028,8,1),IFERROR(DATEVALUE(TEXT(Assumptions!B51,"MM/DD/YYYY")),0)&lt;=DATE(2028,8,31)),MIN(Assumptions!G51,MAX(0,((('Consolidated P&amp;L'!N23+'Consolidated P&amp;L'!O23+'Consolidated P&amp;L'!P23+'Consolidated P&amp;L'!Q23+'Consolidated P&amp;L'!R23+'Consolidated P&amp;L'!S23+'Consolidated P&amp;L'!T23+'Consolidated P&amp;L'!U23+'Consolidated P&amp;L'!V23+'Consolidated P&amp;L'!W23+'Consolidated P&amp;L'!X23+'Consolidated P&amp;L'!Y23)*12/12+Assumptions!H51)*Assumptions!B8)-Y5)),0)</f>
        <v/>
      </c>
      <c r="Z7" s="156">
        <f>IF(AND(Assumptions!B51&lt;&gt;"",IFERROR(DATEVALUE(TEXT(Assumptions!B51,"MM/DD/YYYY")),0)&gt;=DATE(2028,9,1),IFERROR(DATEVALUE(TEXT(Assumptions!B51,"MM/DD/YYYY")),0)&lt;=DATE(2028,9,30)),MIN(Assumptions!G51,MAX(0,((('Consolidated P&amp;L'!O23+'Consolidated P&amp;L'!P23+'Consolidated P&amp;L'!Q23+'Consolidated P&amp;L'!R23+'Consolidated P&amp;L'!S23+'Consolidated P&amp;L'!T23+'Consolidated P&amp;L'!U23+'Consolidated P&amp;L'!V23+'Consolidated P&amp;L'!W23+'Consolidated P&amp;L'!X23+'Consolidated P&amp;L'!Y23+'Consolidated P&amp;L'!Z23)*12/12+Assumptions!H51)*Assumptions!B8)-Z5)),0)</f>
        <v/>
      </c>
      <c r="AA7" s="156">
        <f>IF(AND(Assumptions!B51&lt;&gt;"",IFERROR(DATEVALUE(TEXT(Assumptions!B51,"MM/DD/YYYY")),0)&gt;=DATE(2028,10,1),IFERROR(DATEVALUE(TEXT(Assumptions!B51,"MM/DD/YYYY")),0)&lt;=DATE(2028,10,31)),MIN(Assumptions!G51,MAX(0,((('Consolidated P&amp;L'!P23+'Consolidated P&amp;L'!Q23+'Consolidated P&amp;L'!R23+'Consolidated P&amp;L'!S23+'Consolidated P&amp;L'!T23+'Consolidated P&amp;L'!U23+'Consolidated P&amp;L'!V23+'Consolidated P&amp;L'!W23+'Consolidated P&amp;L'!X23+'Consolidated P&amp;L'!Y23+'Consolidated P&amp;L'!Z23+'Consolidated P&amp;L'!AA23)*12/12+Assumptions!H51)*Assumptions!B8)-AA5)),0)</f>
        <v/>
      </c>
      <c r="AB7" s="156">
        <f>IF(AND(Assumptions!B51&lt;&gt;"",IFERROR(DATEVALUE(TEXT(Assumptions!B51,"MM/DD/YYYY")),0)&gt;=DATE(2028,11,1),IFERROR(DATEVALUE(TEXT(Assumptions!B51,"MM/DD/YYYY")),0)&lt;=DATE(2028,11,30)),MIN(Assumptions!G51,MAX(0,((('Consolidated P&amp;L'!Q23+'Consolidated P&amp;L'!R23+'Consolidated P&amp;L'!S23+'Consolidated P&amp;L'!T23+'Consolidated P&amp;L'!U23+'Consolidated P&amp;L'!V23+'Consolidated P&amp;L'!W23+'Consolidated P&amp;L'!X23+'Consolidated P&amp;L'!Y23+'Consolidated P&amp;L'!Z23+'Consolidated P&amp;L'!AA23+'Consolidated P&amp;L'!AB23)*12/12+Assumptions!H51)*Assumptions!B8)-AB5)),0)</f>
        <v/>
      </c>
      <c r="AC7" s="156">
        <f>IF(AND(Assumptions!B51&lt;&gt;"",IFERROR(DATEVALUE(TEXT(Assumptions!B51,"MM/DD/YYYY")),0)&gt;=DATE(2028,12,1),IFERROR(DATEVALUE(TEXT(Assumptions!B51,"MM/DD/YYYY")),0)&lt;=DATE(2028,12,31)),MIN(Assumptions!G51,MAX(0,((('Consolidated P&amp;L'!R23+'Consolidated P&amp;L'!S23+'Consolidated P&amp;L'!T23+'Consolidated P&amp;L'!U23+'Consolidated P&amp;L'!V23+'Consolidated P&amp;L'!W23+'Consolidated P&amp;L'!X23+'Consolidated P&amp;L'!Y23+'Consolidated P&amp;L'!Z23+'Consolidated P&amp;L'!AA23+'Consolidated P&amp;L'!AB23+'Consolidated P&amp;L'!AC23)*12/12+Assumptions!H51)*Assumptions!B8)-AC5)),0)</f>
        <v/>
      </c>
      <c r="AD7" s="156">
        <f>IF(AND(Assumptions!B51&lt;&gt;"",IFERROR(DATEVALUE(TEXT(Assumptions!B51,"MM/DD/YYYY")),0)&gt;=DATE(2029,1,1),IFERROR(DATEVALUE(TEXT(Assumptions!B51,"MM/DD/YYYY")),0)&lt;=DATE(2029,1,31)),MIN(Assumptions!G51,MAX(0,((('Consolidated P&amp;L'!S23+'Consolidated P&amp;L'!T23+'Consolidated P&amp;L'!U23+'Consolidated P&amp;L'!V23+'Consolidated P&amp;L'!W23+'Consolidated P&amp;L'!X23+'Consolidated P&amp;L'!Y23+'Consolidated P&amp;L'!Z23+'Consolidated P&amp;L'!AA23+'Consolidated P&amp;L'!AB23+'Consolidated P&amp;L'!AC23+'Consolidated P&amp;L'!AD23)*12/12+Assumptions!H51)*Assumptions!B8)-AD5)),0)</f>
        <v/>
      </c>
      <c r="AE7" s="156">
        <f>IF(AND(Assumptions!B51&lt;&gt;"",IFERROR(DATEVALUE(TEXT(Assumptions!B51,"MM/DD/YYYY")),0)&gt;=DATE(2029,2,1),IFERROR(DATEVALUE(TEXT(Assumptions!B51,"MM/DD/YYYY")),0)&lt;=DATE(2029,2,28)),MIN(Assumptions!G51,MAX(0,((('Consolidated P&amp;L'!T23+'Consolidated P&amp;L'!U23+'Consolidated P&amp;L'!V23+'Consolidated P&amp;L'!W23+'Consolidated P&amp;L'!X23+'Consolidated P&amp;L'!Y23+'Consolidated P&amp;L'!Z23+'Consolidated P&amp;L'!AA23+'Consolidated P&amp;L'!AB23+'Consolidated P&amp;L'!AC23+'Consolidated P&amp;L'!AD23+'Consolidated P&amp;L'!AE23)*12/12+Assumptions!H51)*Assumptions!B8)-AE5)),0)</f>
        <v/>
      </c>
      <c r="AF7" s="156">
        <f>IF(AND(Assumptions!B51&lt;&gt;"",IFERROR(DATEVALUE(TEXT(Assumptions!B51,"MM/DD/YYYY")),0)&gt;=DATE(2029,3,1),IFERROR(DATEVALUE(TEXT(Assumptions!B51,"MM/DD/YYYY")),0)&lt;=DATE(2029,3,31)),MIN(Assumptions!G51,MAX(0,((('Consolidated P&amp;L'!U23+'Consolidated P&amp;L'!V23+'Consolidated P&amp;L'!W23+'Consolidated P&amp;L'!X23+'Consolidated P&amp;L'!Y23+'Consolidated P&amp;L'!Z23+'Consolidated P&amp;L'!AA23+'Consolidated P&amp;L'!AB23+'Consolidated P&amp;L'!AC23+'Consolidated P&amp;L'!AD23+'Consolidated P&amp;L'!AE23+'Consolidated P&amp;L'!AF23)*12/12+Assumptions!H51)*Assumptions!B8)-AF5)),0)</f>
        <v/>
      </c>
      <c r="AG7" s="156">
        <f>IF(AND(Assumptions!B51&lt;&gt;"",IFERROR(DATEVALUE(TEXT(Assumptions!B51,"MM/DD/YYYY")),0)&gt;=DATE(2029,4,1),IFERROR(DATEVALUE(TEXT(Assumptions!B51,"MM/DD/YYYY")),0)&lt;=DATE(2029,4,30)),MIN(Assumptions!G51,MAX(0,((('Consolidated P&amp;L'!V23+'Consolidated P&amp;L'!W23+'Consolidated P&amp;L'!X23+'Consolidated P&amp;L'!Y23+'Consolidated P&amp;L'!Z23+'Consolidated P&amp;L'!AA23+'Consolidated P&amp;L'!AB23+'Consolidated P&amp;L'!AC23+'Consolidated P&amp;L'!AD23+'Consolidated P&amp;L'!AE23+'Consolidated P&amp;L'!AF23+'Consolidated P&amp;L'!AG23)*12/12+Assumptions!H51)*Assumptions!B8)-AG5)),0)</f>
        <v/>
      </c>
      <c r="AH7" s="156">
        <f>IF(AND(Assumptions!B51&lt;&gt;"",IFERROR(DATEVALUE(TEXT(Assumptions!B51,"MM/DD/YYYY")),0)&gt;=DATE(2029,5,1),IFERROR(DATEVALUE(TEXT(Assumptions!B51,"MM/DD/YYYY")),0)&lt;=DATE(2029,5,31)),MIN(Assumptions!G51,MAX(0,((('Consolidated P&amp;L'!W23+'Consolidated P&amp;L'!X23+'Consolidated P&amp;L'!Y23+'Consolidated P&amp;L'!Z23+'Consolidated P&amp;L'!AA23+'Consolidated P&amp;L'!AB23+'Consolidated P&amp;L'!AC23+'Consolidated P&amp;L'!AD23+'Consolidated P&amp;L'!AE23+'Consolidated P&amp;L'!AF23+'Consolidated P&amp;L'!AG23+'Consolidated P&amp;L'!AH23)*12/12+Assumptions!H51)*Assumptions!B8)-AH5)),0)</f>
        <v/>
      </c>
      <c r="AI7" s="156">
        <f>IF(AND(Assumptions!B51&lt;&gt;"",IFERROR(DATEVALUE(TEXT(Assumptions!B51,"MM/DD/YYYY")),0)&gt;=DATE(2029,6,1),IFERROR(DATEVALUE(TEXT(Assumptions!B51,"MM/DD/YYYY")),0)&lt;=DATE(2029,6,30)),MIN(Assumptions!G51,MAX(0,((('Consolidated P&amp;L'!X23+'Consolidated P&amp;L'!Y23+'Consolidated P&amp;L'!Z23+'Consolidated P&amp;L'!AA23+'Consolidated P&amp;L'!AB23+'Consolidated P&amp;L'!AC23+'Consolidated P&amp;L'!AD23+'Consolidated P&amp;L'!AE23+'Consolidated P&amp;L'!AF23+'Consolidated P&amp;L'!AG23+'Consolidated P&amp;L'!AH23+'Consolidated P&amp;L'!AI23)*12/12+Assumptions!H51)*Assumptions!B8)-AI5)),0)</f>
        <v/>
      </c>
      <c r="AJ7" s="156">
        <f>IF(AND(Assumptions!B51&lt;&gt;"",IFERROR(DATEVALUE(TEXT(Assumptions!B51,"MM/DD/YYYY")),0)&gt;=DATE(2029,7,1),IFERROR(DATEVALUE(TEXT(Assumptions!B51,"MM/DD/YYYY")),0)&lt;=DATE(2029,7,31)),MIN(Assumptions!G51,MAX(0,((('Consolidated P&amp;L'!Y23+'Consolidated P&amp;L'!Z23+'Consolidated P&amp;L'!AA23+'Consolidated P&amp;L'!AB23+'Consolidated P&amp;L'!AC23+'Consolidated P&amp;L'!AD23+'Consolidated P&amp;L'!AE23+'Consolidated P&amp;L'!AF23+'Consolidated P&amp;L'!AG23+'Consolidated P&amp;L'!AH23+'Consolidated P&amp;L'!AI23+'Consolidated P&amp;L'!AJ23)*12/12+Assumptions!H51)*Assumptions!B8)-AJ5)),0)</f>
        <v/>
      </c>
      <c r="AK7" s="156">
        <f>IF(AND(Assumptions!B51&lt;&gt;"",IFERROR(DATEVALUE(TEXT(Assumptions!B51,"MM/DD/YYYY")),0)&gt;=DATE(2029,8,1),IFERROR(DATEVALUE(TEXT(Assumptions!B51,"MM/DD/YYYY")),0)&lt;=DATE(2029,8,31)),MIN(Assumptions!G51,MAX(0,((('Consolidated P&amp;L'!Z23+'Consolidated P&amp;L'!AA23+'Consolidated P&amp;L'!AB23+'Consolidated P&amp;L'!AC23+'Consolidated P&amp;L'!AD23+'Consolidated P&amp;L'!AE23+'Consolidated P&amp;L'!AF23+'Consolidated P&amp;L'!AG23+'Consolidated P&amp;L'!AH23+'Consolidated P&amp;L'!AI23+'Consolidated P&amp;L'!AJ23+'Consolidated P&amp;L'!AK23)*12/12+Assumptions!H51)*Assumptions!B8)-AK5)),0)</f>
        <v/>
      </c>
      <c r="AL7" s="156">
        <f>IF(AND(Assumptions!B51&lt;&gt;"",IFERROR(DATEVALUE(TEXT(Assumptions!B51,"MM/DD/YYYY")),0)&gt;=DATE(2029,9,1),IFERROR(DATEVALUE(TEXT(Assumptions!B51,"MM/DD/YYYY")),0)&lt;=DATE(2029,9,30)),MIN(Assumptions!G51,MAX(0,((('Consolidated P&amp;L'!AA23+'Consolidated P&amp;L'!AB23+'Consolidated P&amp;L'!AC23+'Consolidated P&amp;L'!AD23+'Consolidated P&amp;L'!AE23+'Consolidated P&amp;L'!AF23+'Consolidated P&amp;L'!AG23+'Consolidated P&amp;L'!AH23+'Consolidated P&amp;L'!AI23+'Consolidated P&amp;L'!AJ23+'Consolidated P&amp;L'!AK23+'Consolidated P&amp;L'!AL23)*12/12+Assumptions!H51)*Assumptions!B8)-AL5)),0)</f>
        <v/>
      </c>
      <c r="AM7" s="156">
        <f>IF(AND(Assumptions!B51&lt;&gt;"",IFERROR(DATEVALUE(TEXT(Assumptions!B51,"MM/DD/YYYY")),0)&gt;=DATE(2029,10,1),IFERROR(DATEVALUE(TEXT(Assumptions!B51,"MM/DD/YYYY")),0)&lt;=DATE(2029,10,31)),MIN(Assumptions!G51,MAX(0,((('Consolidated P&amp;L'!AB23+'Consolidated P&amp;L'!AC23+'Consolidated P&amp;L'!AD23+'Consolidated P&amp;L'!AE23+'Consolidated P&amp;L'!AF23+'Consolidated P&amp;L'!AG23+'Consolidated P&amp;L'!AH23+'Consolidated P&amp;L'!AI23+'Consolidated P&amp;L'!AJ23+'Consolidated P&amp;L'!AK23+'Consolidated P&amp;L'!AL23+'Consolidated P&amp;L'!AM23)*12/12+Assumptions!H51)*Assumptions!B8)-AM5)),0)</f>
        <v/>
      </c>
      <c r="AN7" s="156">
        <f>IF(AND(Assumptions!B51&lt;&gt;"",IFERROR(DATEVALUE(TEXT(Assumptions!B51,"MM/DD/YYYY")),0)&gt;=DATE(2029,11,1),IFERROR(DATEVALUE(TEXT(Assumptions!B51,"MM/DD/YYYY")),0)&lt;=DATE(2029,11,30)),MIN(Assumptions!G51,MAX(0,((('Consolidated P&amp;L'!AC23+'Consolidated P&amp;L'!AD23+'Consolidated P&amp;L'!AE23+'Consolidated P&amp;L'!AF23+'Consolidated P&amp;L'!AG23+'Consolidated P&amp;L'!AH23+'Consolidated P&amp;L'!AI23+'Consolidated P&amp;L'!AJ23+'Consolidated P&amp;L'!AK23+'Consolidated P&amp;L'!AL23+'Consolidated P&amp;L'!AM23+'Consolidated P&amp;L'!AN23)*12/12+Assumptions!H51)*Assumptions!B8)-AN5)),0)</f>
        <v/>
      </c>
      <c r="AO7" s="156">
        <f>IF(AND(Assumptions!B51&lt;&gt;"",IFERROR(DATEVALUE(TEXT(Assumptions!B51,"MM/DD/YYYY")),0)&gt;=DATE(2029,12,1),IFERROR(DATEVALUE(TEXT(Assumptions!B51,"MM/DD/YYYY")),0)&lt;=DATE(2029,12,31)),MIN(Assumptions!G51,MAX(0,((('Consolidated P&amp;L'!AD23+'Consolidated P&amp;L'!AE23+'Consolidated P&amp;L'!AF23+'Consolidated P&amp;L'!AG23+'Consolidated P&amp;L'!AH23+'Consolidated P&amp;L'!AI23+'Consolidated P&amp;L'!AJ23+'Consolidated P&amp;L'!AK23+'Consolidated P&amp;L'!AL23+'Consolidated P&amp;L'!AM23+'Consolidated P&amp;L'!AN23+'Consolidated P&amp;L'!AO23)*12/12+Assumptions!H51)*Assumptions!B8)-AO5)),0)</f>
        <v/>
      </c>
      <c r="AP7" s="156">
        <f>IF(AND(Assumptions!B51&lt;&gt;"",IFERROR(DATEVALUE(TEXT(Assumptions!B51,"MM/DD/YYYY")),0)&gt;=DATE(2030,1,1),IFERROR(DATEVALUE(TEXT(Assumptions!B51,"MM/DD/YYYY")),0)&lt;=DATE(2030,1,31)),MIN(Assumptions!G51,MAX(0,((('Consolidated P&amp;L'!AE23+'Consolidated P&amp;L'!AF23+'Consolidated P&amp;L'!AG23+'Consolidated P&amp;L'!AH23+'Consolidated P&amp;L'!AI23+'Consolidated P&amp;L'!AJ23+'Consolidated P&amp;L'!AK23+'Consolidated P&amp;L'!AL23+'Consolidated P&amp;L'!AM23+'Consolidated P&amp;L'!AN23+'Consolidated P&amp;L'!AO23+'Consolidated P&amp;L'!AP23)*12/12+Assumptions!H51)*Assumptions!B8)-AP5)),0)</f>
        <v/>
      </c>
      <c r="AQ7" s="156">
        <f>IF(AND(Assumptions!B51&lt;&gt;"",IFERROR(DATEVALUE(TEXT(Assumptions!B51,"MM/DD/YYYY")),0)&gt;=DATE(2030,2,1),IFERROR(DATEVALUE(TEXT(Assumptions!B51,"MM/DD/YYYY")),0)&lt;=DATE(2030,2,28)),MIN(Assumptions!G51,MAX(0,((('Consolidated P&amp;L'!AF23+'Consolidated P&amp;L'!AG23+'Consolidated P&amp;L'!AH23+'Consolidated P&amp;L'!AI23+'Consolidated P&amp;L'!AJ23+'Consolidated P&amp;L'!AK23+'Consolidated P&amp;L'!AL23+'Consolidated P&amp;L'!AM23+'Consolidated P&amp;L'!AN23+'Consolidated P&amp;L'!AO23+'Consolidated P&amp;L'!AP23+'Consolidated P&amp;L'!AQ23)*12/12+Assumptions!H51)*Assumptions!B8)-AQ5)),0)</f>
        <v/>
      </c>
      <c r="AR7" s="156">
        <f>IF(AND(Assumptions!B51&lt;&gt;"",IFERROR(DATEVALUE(TEXT(Assumptions!B51,"MM/DD/YYYY")),0)&gt;=DATE(2030,3,1),IFERROR(DATEVALUE(TEXT(Assumptions!B51,"MM/DD/YYYY")),0)&lt;=DATE(2030,3,31)),MIN(Assumptions!G51,MAX(0,((('Consolidated P&amp;L'!AG23+'Consolidated P&amp;L'!AH23+'Consolidated P&amp;L'!AI23+'Consolidated P&amp;L'!AJ23+'Consolidated P&amp;L'!AK23+'Consolidated P&amp;L'!AL23+'Consolidated P&amp;L'!AM23+'Consolidated P&amp;L'!AN23+'Consolidated P&amp;L'!AO23+'Consolidated P&amp;L'!AP23+'Consolidated P&amp;L'!AQ23+'Consolidated P&amp;L'!AR23)*12/12+Assumptions!H51)*Assumptions!B8)-AR5)),0)</f>
        <v/>
      </c>
      <c r="AS7" s="156">
        <f>IF(AND(Assumptions!B51&lt;&gt;"",IFERROR(DATEVALUE(TEXT(Assumptions!B51,"MM/DD/YYYY")),0)&gt;=DATE(2030,4,1),IFERROR(DATEVALUE(TEXT(Assumptions!B51,"MM/DD/YYYY")),0)&lt;=DATE(2030,4,30)),MIN(Assumptions!G51,MAX(0,((('Consolidated P&amp;L'!AH23+'Consolidated P&amp;L'!AI23+'Consolidated P&amp;L'!AJ23+'Consolidated P&amp;L'!AK23+'Consolidated P&amp;L'!AL23+'Consolidated P&amp;L'!AM23+'Consolidated P&amp;L'!AN23+'Consolidated P&amp;L'!AO23+'Consolidated P&amp;L'!AP23+'Consolidated P&amp;L'!AQ23+'Consolidated P&amp;L'!AR23+'Consolidated P&amp;L'!AS23)*12/12+Assumptions!H51)*Assumptions!B8)-AS5)),0)</f>
        <v/>
      </c>
      <c r="AT7" s="156">
        <f>IF(AND(Assumptions!B51&lt;&gt;"",IFERROR(DATEVALUE(TEXT(Assumptions!B51,"MM/DD/YYYY")),0)&gt;=DATE(2030,5,1),IFERROR(DATEVALUE(TEXT(Assumptions!B51,"MM/DD/YYYY")),0)&lt;=DATE(2030,5,31)),MIN(Assumptions!G51,MAX(0,((('Consolidated P&amp;L'!AI23+'Consolidated P&amp;L'!AJ23+'Consolidated P&amp;L'!AK23+'Consolidated P&amp;L'!AL23+'Consolidated P&amp;L'!AM23+'Consolidated P&amp;L'!AN23+'Consolidated P&amp;L'!AO23+'Consolidated P&amp;L'!AP23+'Consolidated P&amp;L'!AQ23+'Consolidated P&amp;L'!AR23+'Consolidated P&amp;L'!AS23+'Consolidated P&amp;L'!AT23)*12/12+Assumptions!H51)*Assumptions!B8)-AT5)),0)</f>
        <v/>
      </c>
      <c r="AU7" s="156">
        <f>IF(AND(Assumptions!B51&lt;&gt;"",IFERROR(DATEVALUE(TEXT(Assumptions!B51,"MM/DD/YYYY")),0)&gt;=DATE(2030,6,1),IFERROR(DATEVALUE(TEXT(Assumptions!B51,"MM/DD/YYYY")),0)&lt;=DATE(2030,6,30)),MIN(Assumptions!G51,MAX(0,((('Consolidated P&amp;L'!AJ23+'Consolidated P&amp;L'!AK23+'Consolidated P&amp;L'!AL23+'Consolidated P&amp;L'!AM23+'Consolidated P&amp;L'!AN23+'Consolidated P&amp;L'!AO23+'Consolidated P&amp;L'!AP23+'Consolidated P&amp;L'!AQ23+'Consolidated P&amp;L'!AR23+'Consolidated P&amp;L'!AS23+'Consolidated P&amp;L'!AT23+'Consolidated P&amp;L'!AU23)*12/12+Assumptions!H51)*Assumptions!B8)-AU5)),0)</f>
        <v/>
      </c>
      <c r="AV7" s="156">
        <f>IF(AND(Assumptions!B51&lt;&gt;"",IFERROR(DATEVALUE(TEXT(Assumptions!B51,"MM/DD/YYYY")),0)&gt;=DATE(2030,7,1),IFERROR(DATEVALUE(TEXT(Assumptions!B51,"MM/DD/YYYY")),0)&lt;=DATE(2030,7,31)),MIN(Assumptions!G51,MAX(0,((('Consolidated P&amp;L'!AK23+'Consolidated P&amp;L'!AL23+'Consolidated P&amp;L'!AM23+'Consolidated P&amp;L'!AN23+'Consolidated P&amp;L'!AO23+'Consolidated P&amp;L'!AP23+'Consolidated P&amp;L'!AQ23+'Consolidated P&amp;L'!AR23+'Consolidated P&amp;L'!AS23+'Consolidated P&amp;L'!AT23+'Consolidated P&amp;L'!AU23+'Consolidated P&amp;L'!AV23)*12/12+Assumptions!H51)*Assumptions!B8)-AV5)),0)</f>
        <v/>
      </c>
      <c r="AW7" s="156">
        <f>IF(AND(Assumptions!B51&lt;&gt;"",IFERROR(DATEVALUE(TEXT(Assumptions!B51,"MM/DD/YYYY")),0)&gt;=DATE(2030,8,1),IFERROR(DATEVALUE(TEXT(Assumptions!B51,"MM/DD/YYYY")),0)&lt;=DATE(2030,8,31)),MIN(Assumptions!G51,MAX(0,((('Consolidated P&amp;L'!AL23+'Consolidated P&amp;L'!AM23+'Consolidated P&amp;L'!AN23+'Consolidated P&amp;L'!AO23+'Consolidated P&amp;L'!AP23+'Consolidated P&amp;L'!AQ23+'Consolidated P&amp;L'!AR23+'Consolidated P&amp;L'!AS23+'Consolidated P&amp;L'!AT23+'Consolidated P&amp;L'!AU23+'Consolidated P&amp;L'!AV23+'Consolidated P&amp;L'!AW23)*12/12+Assumptions!H51)*Assumptions!B8)-AW5)),0)</f>
        <v/>
      </c>
      <c r="AX7" s="156">
        <f>IF(AND(Assumptions!B51&lt;&gt;"",IFERROR(DATEVALUE(TEXT(Assumptions!B51,"MM/DD/YYYY")),0)&gt;=DATE(2030,9,1),IFERROR(DATEVALUE(TEXT(Assumptions!B51,"MM/DD/YYYY")),0)&lt;=DATE(2030,9,30)),MIN(Assumptions!G51,MAX(0,((('Consolidated P&amp;L'!AM23+'Consolidated P&amp;L'!AN23+'Consolidated P&amp;L'!AO23+'Consolidated P&amp;L'!AP23+'Consolidated P&amp;L'!AQ23+'Consolidated P&amp;L'!AR23+'Consolidated P&amp;L'!AS23+'Consolidated P&amp;L'!AT23+'Consolidated P&amp;L'!AU23+'Consolidated P&amp;L'!AV23+'Consolidated P&amp;L'!AW23+'Consolidated P&amp;L'!AX23)*12/12+Assumptions!H51)*Assumptions!B8)-AX5)),0)</f>
        <v/>
      </c>
      <c r="AY7" s="156">
        <f>IF(AND(Assumptions!B51&lt;&gt;"",IFERROR(DATEVALUE(TEXT(Assumptions!B51,"MM/DD/YYYY")),0)&gt;=DATE(2030,10,1),IFERROR(DATEVALUE(TEXT(Assumptions!B51,"MM/DD/YYYY")),0)&lt;=DATE(2030,10,31)),MIN(Assumptions!G51,MAX(0,((('Consolidated P&amp;L'!AN23+'Consolidated P&amp;L'!AO23+'Consolidated P&amp;L'!AP23+'Consolidated P&amp;L'!AQ23+'Consolidated P&amp;L'!AR23+'Consolidated P&amp;L'!AS23+'Consolidated P&amp;L'!AT23+'Consolidated P&amp;L'!AU23+'Consolidated P&amp;L'!AV23+'Consolidated P&amp;L'!AW23+'Consolidated P&amp;L'!AX23+'Consolidated P&amp;L'!AY23)*12/12+Assumptions!H51)*Assumptions!B8)-AY5)),0)</f>
        <v/>
      </c>
      <c r="AZ7" s="156">
        <f>IF(AND(Assumptions!B51&lt;&gt;"",IFERROR(DATEVALUE(TEXT(Assumptions!B51,"MM/DD/YYYY")),0)&gt;=DATE(2030,11,1),IFERROR(DATEVALUE(TEXT(Assumptions!B51,"MM/DD/YYYY")),0)&lt;=DATE(2030,11,30)),MIN(Assumptions!G51,MAX(0,((('Consolidated P&amp;L'!AO23+'Consolidated P&amp;L'!AP23+'Consolidated P&amp;L'!AQ23+'Consolidated P&amp;L'!AR23+'Consolidated P&amp;L'!AS23+'Consolidated P&amp;L'!AT23+'Consolidated P&amp;L'!AU23+'Consolidated P&amp;L'!AV23+'Consolidated P&amp;L'!AW23+'Consolidated P&amp;L'!AX23+'Consolidated P&amp;L'!AY23+'Consolidated P&amp;L'!AZ23)*12/12+Assumptions!H51)*Assumptions!B8)-AZ5)),0)</f>
        <v/>
      </c>
      <c r="BA7" s="156">
        <f>IF(AND(Assumptions!B51&lt;&gt;"",IFERROR(DATEVALUE(TEXT(Assumptions!B51,"MM/DD/YYYY")),0)&gt;=DATE(2030,12,1),IFERROR(DATEVALUE(TEXT(Assumptions!B51,"MM/DD/YYYY")),0)&lt;=DATE(2030,12,31)),MIN(Assumptions!G51,MAX(0,((('Consolidated P&amp;L'!AP23+'Consolidated P&amp;L'!AQ23+'Consolidated P&amp;L'!AR23+'Consolidated P&amp;L'!AS23+'Consolidated P&amp;L'!AT23+'Consolidated P&amp;L'!AU23+'Consolidated P&amp;L'!AV23+'Consolidated P&amp;L'!AW23+'Consolidated P&amp;L'!AX23+'Consolidated P&amp;L'!AY23+'Consolidated P&amp;L'!AZ23+'Consolidated P&amp;L'!BA23)*12/12+Assumptions!H51)*Assumptions!B8)-BA5)),0)</f>
        <v/>
      </c>
      <c r="BB7" s="156">
        <f>IF(AND(Assumptions!B51&lt;&gt;"",IFERROR(DATEVALUE(TEXT(Assumptions!B51,"MM/DD/YYYY")),0)&gt;=DATE(2031,1,1),IFERROR(DATEVALUE(TEXT(Assumptions!B51,"MM/DD/YYYY")),0)&lt;=DATE(2031,1,31)),MIN(Assumptions!G51,MAX(0,((('Consolidated P&amp;L'!AQ23+'Consolidated P&amp;L'!AR23+'Consolidated P&amp;L'!AS23+'Consolidated P&amp;L'!AT23+'Consolidated P&amp;L'!AU23+'Consolidated P&amp;L'!AV23+'Consolidated P&amp;L'!AW23+'Consolidated P&amp;L'!AX23+'Consolidated P&amp;L'!AY23+'Consolidated P&amp;L'!AZ23+'Consolidated P&amp;L'!BA23+'Consolidated P&amp;L'!BB23)*12/12+Assumptions!H51)*Assumptions!B8)-BB5)),0)</f>
        <v/>
      </c>
      <c r="BC7" s="156">
        <f>IF(AND(Assumptions!B51&lt;&gt;"",IFERROR(DATEVALUE(TEXT(Assumptions!B51,"MM/DD/YYYY")),0)&gt;=DATE(2031,2,1),IFERROR(DATEVALUE(TEXT(Assumptions!B51,"MM/DD/YYYY")),0)&lt;=DATE(2031,2,28)),MIN(Assumptions!G51,MAX(0,((('Consolidated P&amp;L'!AR23+'Consolidated P&amp;L'!AS23+'Consolidated P&amp;L'!AT23+'Consolidated P&amp;L'!AU23+'Consolidated P&amp;L'!AV23+'Consolidated P&amp;L'!AW23+'Consolidated P&amp;L'!AX23+'Consolidated P&amp;L'!AY23+'Consolidated P&amp;L'!AZ23+'Consolidated P&amp;L'!BA23+'Consolidated P&amp;L'!BB23+'Consolidated P&amp;L'!BC23)*12/12+Assumptions!H51)*Assumptions!B8)-BC5)),0)</f>
        <v/>
      </c>
      <c r="BD7" s="156">
        <f>IF(AND(Assumptions!B51&lt;&gt;"",IFERROR(DATEVALUE(TEXT(Assumptions!B51,"MM/DD/YYYY")),0)&gt;=DATE(2031,3,1),IFERROR(DATEVALUE(TEXT(Assumptions!B51,"MM/DD/YYYY")),0)&lt;=DATE(2031,3,31)),MIN(Assumptions!G51,MAX(0,((('Consolidated P&amp;L'!AS23+'Consolidated P&amp;L'!AT23+'Consolidated P&amp;L'!AU23+'Consolidated P&amp;L'!AV23+'Consolidated P&amp;L'!AW23+'Consolidated P&amp;L'!AX23+'Consolidated P&amp;L'!AY23+'Consolidated P&amp;L'!AZ23+'Consolidated P&amp;L'!BA23+'Consolidated P&amp;L'!BB23+'Consolidated P&amp;L'!BC23+'Consolidated P&amp;L'!BD23)*12/12+Assumptions!H51)*Assumptions!B8)-BD5)),0)</f>
        <v/>
      </c>
      <c r="BE7" s="156">
        <f>IF(AND(Assumptions!B51&lt;&gt;"",IFERROR(DATEVALUE(TEXT(Assumptions!B51,"MM/DD/YYYY")),0)&gt;=DATE(2031,4,1),IFERROR(DATEVALUE(TEXT(Assumptions!B51,"MM/DD/YYYY")),0)&lt;=DATE(2031,4,30)),MIN(Assumptions!G51,MAX(0,((('Consolidated P&amp;L'!AT23+'Consolidated P&amp;L'!AU23+'Consolidated P&amp;L'!AV23+'Consolidated P&amp;L'!AW23+'Consolidated P&amp;L'!AX23+'Consolidated P&amp;L'!AY23+'Consolidated P&amp;L'!AZ23+'Consolidated P&amp;L'!BA23+'Consolidated P&amp;L'!BB23+'Consolidated P&amp;L'!BC23+'Consolidated P&amp;L'!BD23+'Consolidated P&amp;L'!BE23)*12/12+Assumptions!H51)*Assumptions!B8)-BE5)),0)</f>
        <v/>
      </c>
      <c r="BF7" s="156">
        <f>IF(AND(Assumptions!B51&lt;&gt;"",IFERROR(DATEVALUE(TEXT(Assumptions!B51,"MM/DD/YYYY")),0)&gt;=DATE(2031,5,1),IFERROR(DATEVALUE(TEXT(Assumptions!B51,"MM/DD/YYYY")),0)&lt;=DATE(2031,5,31)),MIN(Assumptions!G51,MAX(0,((('Consolidated P&amp;L'!AU23+'Consolidated P&amp;L'!AV23+'Consolidated P&amp;L'!AW23+'Consolidated P&amp;L'!AX23+'Consolidated P&amp;L'!AY23+'Consolidated P&amp;L'!AZ23+'Consolidated P&amp;L'!BA23+'Consolidated P&amp;L'!BB23+'Consolidated P&amp;L'!BC23+'Consolidated P&amp;L'!BD23+'Consolidated P&amp;L'!BE23+'Consolidated P&amp;L'!BF23)*12/12+Assumptions!H51)*Assumptions!B8)-BF5)),0)</f>
        <v/>
      </c>
      <c r="BG7" s="156">
        <f>IF(AND(Assumptions!B51&lt;&gt;"",IFERROR(DATEVALUE(TEXT(Assumptions!B51,"MM/DD/YYYY")),0)&gt;=DATE(2031,6,1),IFERROR(DATEVALUE(TEXT(Assumptions!B51,"MM/DD/YYYY")),0)&lt;=DATE(2031,6,30)),MIN(Assumptions!G51,MAX(0,((('Consolidated P&amp;L'!AV23+'Consolidated P&amp;L'!AW23+'Consolidated P&amp;L'!AX23+'Consolidated P&amp;L'!AY23+'Consolidated P&amp;L'!AZ23+'Consolidated P&amp;L'!BA23+'Consolidated P&amp;L'!BB23+'Consolidated P&amp;L'!BC23+'Consolidated P&amp;L'!BD23+'Consolidated P&amp;L'!BE23+'Consolidated P&amp;L'!BF23+'Consolidated P&amp;L'!BG23)*12/12+Assumptions!H51)*Assumptions!B8)-BG5)),0)</f>
        <v/>
      </c>
      <c r="BH7" s="156">
        <f>IF(AND(Assumptions!B51&lt;&gt;"",IFERROR(DATEVALUE(TEXT(Assumptions!B51,"MM/DD/YYYY")),0)&gt;=DATE(2031,7,1),IFERROR(DATEVALUE(TEXT(Assumptions!B51,"MM/DD/YYYY")),0)&lt;=DATE(2031,7,31)),MIN(Assumptions!G51,MAX(0,((('Consolidated P&amp;L'!AW23+'Consolidated P&amp;L'!AX23+'Consolidated P&amp;L'!AY23+'Consolidated P&amp;L'!AZ23+'Consolidated P&amp;L'!BA23+'Consolidated P&amp;L'!BB23+'Consolidated P&amp;L'!BC23+'Consolidated P&amp;L'!BD23+'Consolidated P&amp;L'!BE23+'Consolidated P&amp;L'!BF23+'Consolidated P&amp;L'!BG23+'Consolidated P&amp;L'!BH23)*12/12+Assumptions!H51)*Assumptions!B8)-BH5)),0)</f>
        <v/>
      </c>
      <c r="BI7" s="156">
        <f>IF(AND(Assumptions!B51&lt;&gt;"",IFERROR(DATEVALUE(TEXT(Assumptions!B51,"MM/DD/YYYY")),0)&gt;=DATE(2031,8,1),IFERROR(DATEVALUE(TEXT(Assumptions!B51,"MM/DD/YYYY")),0)&lt;=DATE(2031,8,31)),MIN(Assumptions!G51,MAX(0,((('Consolidated P&amp;L'!AX23+'Consolidated P&amp;L'!AY23+'Consolidated P&amp;L'!AZ23+'Consolidated P&amp;L'!BA23+'Consolidated P&amp;L'!BB23+'Consolidated P&amp;L'!BC23+'Consolidated P&amp;L'!BD23+'Consolidated P&amp;L'!BE23+'Consolidated P&amp;L'!BF23+'Consolidated P&amp;L'!BG23+'Consolidated P&amp;L'!BH23+'Consolidated P&amp;L'!BI23)*12/12+Assumptions!H51)*Assumptions!B8)-BI5)),0)</f>
        <v/>
      </c>
      <c r="BJ7" s="156">
        <f>IF(AND(Assumptions!B51&lt;&gt;"",IFERROR(DATEVALUE(TEXT(Assumptions!B51,"MM/DD/YYYY")),0)&gt;=DATE(2031,9,1),IFERROR(DATEVALUE(TEXT(Assumptions!B51,"MM/DD/YYYY")),0)&lt;=DATE(2031,9,30)),MIN(Assumptions!G51,MAX(0,((('Consolidated P&amp;L'!AY23+'Consolidated P&amp;L'!AZ23+'Consolidated P&amp;L'!BA23+'Consolidated P&amp;L'!BB23+'Consolidated P&amp;L'!BC23+'Consolidated P&amp;L'!BD23+'Consolidated P&amp;L'!BE23+'Consolidated P&amp;L'!BF23+'Consolidated P&amp;L'!BG23+'Consolidated P&amp;L'!BH23+'Consolidated P&amp;L'!BI23+'Consolidated P&amp;L'!BJ23)*12/12+Assumptions!H51)*Assumptions!B8)-BJ5)),0)</f>
        <v/>
      </c>
      <c r="BL7" s="157">
        <f>C7+D7+E7+F7+G7+H7+I7+J7+K7+L7+M7+N7</f>
        <v/>
      </c>
      <c r="BM7" s="157">
        <f>O7+P7+Q7+R7+S7+T7+U7+V7+W7+X7+Y7+Z7</f>
        <v/>
      </c>
      <c r="BN7" s="157">
        <f>AA7+AB7+AC7+AD7+AE7+AF7+AG7+AH7+AI7+AJ7+AK7+AL7</f>
        <v/>
      </c>
      <c r="BO7" s="157">
        <f>AM7+AN7+AO7+AP7+AQ7+AR7+AS7+AT7+AU7+AV7+AW7+AX7</f>
        <v/>
      </c>
      <c r="BP7" s="157">
        <f>AY7+AZ7+BA7+BB7+BC7+BD7+BE7+BF7+BG7+BH7+BI7+BJ7</f>
        <v/>
      </c>
    </row>
    <row r="8" ht="15" customHeight="1" s="104">
      <c r="A8" s="107" t="inlineStr">
        <is>
          <t xml:space="preserve">    Add-On 2 Debt Draw</t>
        </is>
      </c>
      <c r="C8" s="156">
        <f>IF(AND(Assumptions!B52&lt;&gt;"",IFERROR(DATEVALUE(TEXT(Assumptions!B52,"MM/DD/YYYY")),0)&gt;=DATE(2026,10,1),IFERROR(DATEVALUE(TEXT(Assumptions!B52,"MM/DD/YYYY")),0)&lt;=DATE(2026,10,31)),MIN(Assumptions!G52,MAX(0,((('Consolidated P&amp;L'!C23)*12/1+Assumptions!H52)*Assumptions!B8)-C5)),0)</f>
        <v/>
      </c>
      <c r="D8" s="156">
        <f>IF(AND(Assumptions!B52&lt;&gt;"",IFERROR(DATEVALUE(TEXT(Assumptions!B52,"MM/DD/YYYY")),0)&gt;=DATE(2026,11,1),IFERROR(DATEVALUE(TEXT(Assumptions!B52,"MM/DD/YYYY")),0)&lt;=DATE(2026,11,30)),MIN(Assumptions!G52,MAX(0,((('Consolidated P&amp;L'!C23+'Consolidated P&amp;L'!D23)*12/2+Assumptions!H52)*Assumptions!B8)-D5)),0)</f>
        <v/>
      </c>
      <c r="E8" s="156">
        <f>IF(AND(Assumptions!B52&lt;&gt;"",IFERROR(DATEVALUE(TEXT(Assumptions!B52,"MM/DD/YYYY")),0)&gt;=DATE(2026,12,1),IFERROR(DATEVALUE(TEXT(Assumptions!B52,"MM/DD/YYYY")),0)&lt;=DATE(2026,12,31)),MIN(Assumptions!G52,MAX(0,((('Consolidated P&amp;L'!C23+'Consolidated P&amp;L'!D23+'Consolidated P&amp;L'!E23)*12/3+Assumptions!H52)*Assumptions!B8)-E5)),0)</f>
        <v/>
      </c>
      <c r="F8" s="156">
        <f>IF(AND(Assumptions!B52&lt;&gt;"",IFERROR(DATEVALUE(TEXT(Assumptions!B52,"MM/DD/YYYY")),0)&gt;=DATE(2027,1,1),IFERROR(DATEVALUE(TEXT(Assumptions!B52,"MM/DD/YYYY")),0)&lt;=DATE(2027,1,31)),MIN(Assumptions!G52,MAX(0,((('Consolidated P&amp;L'!C23+'Consolidated P&amp;L'!D23+'Consolidated P&amp;L'!E23+'Consolidated P&amp;L'!F23)*12/4+Assumptions!H52)*Assumptions!B8)-F5)),0)</f>
        <v/>
      </c>
      <c r="G8" s="156">
        <f>IF(AND(Assumptions!B52&lt;&gt;"",IFERROR(DATEVALUE(TEXT(Assumptions!B52,"MM/DD/YYYY")),0)&gt;=DATE(2027,2,1),IFERROR(DATEVALUE(TEXT(Assumptions!B52,"MM/DD/YYYY")),0)&lt;=DATE(2027,2,28)),MIN(Assumptions!G52,MAX(0,((('Consolidated P&amp;L'!C23+'Consolidated P&amp;L'!D23+'Consolidated P&amp;L'!E23+'Consolidated P&amp;L'!F23+'Consolidated P&amp;L'!G23)*12/5+Assumptions!H52)*Assumptions!B8)-G5)),0)</f>
        <v/>
      </c>
      <c r="H8" s="156">
        <f>IF(AND(Assumptions!B52&lt;&gt;"",IFERROR(DATEVALUE(TEXT(Assumptions!B52,"MM/DD/YYYY")),0)&gt;=DATE(2027,3,1),IFERROR(DATEVALUE(TEXT(Assumptions!B52,"MM/DD/YYYY")),0)&lt;=DATE(2027,3,31)),MIN(Assumptions!G52,MAX(0,((('Consolidated P&amp;L'!C23+'Consolidated P&amp;L'!D23+'Consolidated P&amp;L'!E23+'Consolidated P&amp;L'!F23+'Consolidated P&amp;L'!G23+'Consolidated P&amp;L'!H23)*12/6+Assumptions!H52)*Assumptions!B8)-H5)),0)</f>
        <v/>
      </c>
      <c r="I8" s="156">
        <f>IF(AND(Assumptions!B52&lt;&gt;"",IFERROR(DATEVALUE(TEXT(Assumptions!B52,"MM/DD/YYYY")),0)&gt;=DATE(2027,4,1),IFERROR(DATEVALUE(TEXT(Assumptions!B52,"MM/DD/YYYY")),0)&lt;=DATE(2027,4,30)),MIN(Assumptions!G52,MAX(0,((('Consolidated P&amp;L'!C23+'Consolidated P&amp;L'!D23+'Consolidated P&amp;L'!E23+'Consolidated P&amp;L'!F23+'Consolidated P&amp;L'!G23+'Consolidated P&amp;L'!H23+'Consolidated P&amp;L'!I23)*12/7+Assumptions!H52)*Assumptions!B8)-I5)),0)</f>
        <v/>
      </c>
      <c r="J8" s="156">
        <f>IF(AND(Assumptions!B52&lt;&gt;"",IFERROR(DATEVALUE(TEXT(Assumptions!B52,"MM/DD/YYYY")),0)&gt;=DATE(2027,5,1),IFERROR(DATEVALUE(TEXT(Assumptions!B52,"MM/DD/YYYY")),0)&lt;=DATE(2027,5,31)),MIN(Assumptions!G52,MAX(0,((('Consolidated P&amp;L'!C23+'Consolidated P&amp;L'!D23+'Consolidated P&amp;L'!E23+'Consolidated P&amp;L'!F23+'Consolidated P&amp;L'!G23+'Consolidated P&amp;L'!H23+'Consolidated P&amp;L'!I23+'Consolidated P&amp;L'!J23)*12/8+Assumptions!H52)*Assumptions!B8)-J5)),0)</f>
        <v/>
      </c>
      <c r="K8" s="156">
        <f>IF(AND(Assumptions!B52&lt;&gt;"",IFERROR(DATEVALUE(TEXT(Assumptions!B52,"MM/DD/YYYY")),0)&gt;=DATE(2027,6,1),IFERROR(DATEVALUE(TEXT(Assumptions!B52,"MM/DD/YYYY")),0)&lt;=DATE(2027,6,30)),MIN(Assumptions!G52,MAX(0,((('Consolidated P&amp;L'!C23+'Consolidated P&amp;L'!D23+'Consolidated P&amp;L'!E23+'Consolidated P&amp;L'!F23+'Consolidated P&amp;L'!G23+'Consolidated P&amp;L'!H23+'Consolidated P&amp;L'!I23+'Consolidated P&amp;L'!J23+'Consolidated P&amp;L'!K23)*12/9+Assumptions!H52)*Assumptions!B8)-K5)),0)</f>
        <v/>
      </c>
      <c r="L8" s="156">
        <f>IF(AND(Assumptions!B52&lt;&gt;"",IFERROR(DATEVALUE(TEXT(Assumptions!B52,"MM/DD/YYYY")),0)&gt;=DATE(2027,7,1),IFERROR(DATEVALUE(TEXT(Assumptions!B52,"MM/DD/YYYY")),0)&lt;=DATE(2027,7,31)),MIN(Assumptions!G52,MAX(0,((('Consolidated P&amp;L'!C23+'Consolidated P&amp;L'!D23+'Consolidated P&amp;L'!E23+'Consolidated P&amp;L'!F23+'Consolidated P&amp;L'!G23+'Consolidated P&amp;L'!H23+'Consolidated P&amp;L'!I23+'Consolidated P&amp;L'!J23+'Consolidated P&amp;L'!K23+'Consolidated P&amp;L'!L23)*12/10+Assumptions!H52)*Assumptions!B8)-L5)),0)</f>
        <v/>
      </c>
      <c r="M8" s="156">
        <f>IF(AND(Assumptions!B52&lt;&gt;"",IFERROR(DATEVALUE(TEXT(Assumptions!B52,"MM/DD/YYYY")),0)&gt;=DATE(2027,8,1),IFERROR(DATEVALUE(TEXT(Assumptions!B52,"MM/DD/YYYY")),0)&lt;=DATE(2027,8,31)),MIN(Assumptions!G52,MAX(0,((('Consolidated P&amp;L'!C23+'Consolidated P&amp;L'!D23+'Consolidated P&amp;L'!E23+'Consolidated P&amp;L'!F23+'Consolidated P&amp;L'!G23+'Consolidated P&amp;L'!H23+'Consolidated P&amp;L'!I23+'Consolidated P&amp;L'!J23+'Consolidated P&amp;L'!K23+'Consolidated P&amp;L'!L23+'Consolidated P&amp;L'!M23)*12/11+Assumptions!H52)*Assumptions!B8)-M5)),0)</f>
        <v/>
      </c>
      <c r="N8" s="156">
        <f>IF(AND(Assumptions!B52&lt;&gt;"",IFERROR(DATEVALUE(TEXT(Assumptions!B52,"MM/DD/YYYY")),0)&gt;=DATE(2027,9,1),IFERROR(DATEVALUE(TEXT(Assumptions!B52,"MM/DD/YYYY")),0)&lt;=DATE(2027,9,30)),MIN(Assumptions!G52,MAX(0,((('Consolidated P&amp;L'!C23+'Consolidated P&amp;L'!D23+'Consolidated P&amp;L'!E23+'Consolidated P&amp;L'!F23+'Consolidated P&amp;L'!G23+'Consolidated P&amp;L'!H23+'Consolidated P&amp;L'!I23+'Consolidated P&amp;L'!J23+'Consolidated P&amp;L'!K23+'Consolidated P&amp;L'!L23+'Consolidated P&amp;L'!M23+'Consolidated P&amp;L'!N23)*12/12+Assumptions!H52)*Assumptions!B8)-N5)),0)</f>
        <v/>
      </c>
      <c r="O8" s="156">
        <f>IF(AND(Assumptions!B52&lt;&gt;"",IFERROR(DATEVALUE(TEXT(Assumptions!B52,"MM/DD/YYYY")),0)&gt;=DATE(2027,10,1),IFERROR(DATEVALUE(TEXT(Assumptions!B52,"MM/DD/YYYY")),0)&lt;=DATE(2027,10,31)),MIN(Assumptions!G52,MAX(0,((('Consolidated P&amp;L'!D23+'Consolidated P&amp;L'!E23+'Consolidated P&amp;L'!F23+'Consolidated P&amp;L'!G23+'Consolidated P&amp;L'!H23+'Consolidated P&amp;L'!I23+'Consolidated P&amp;L'!J23+'Consolidated P&amp;L'!K23+'Consolidated P&amp;L'!L23+'Consolidated P&amp;L'!M23+'Consolidated P&amp;L'!N23+'Consolidated P&amp;L'!O23)*12/12+Assumptions!H52)*Assumptions!B8)-O5)),0)</f>
        <v/>
      </c>
      <c r="P8" s="156">
        <f>IF(AND(Assumptions!B52&lt;&gt;"",IFERROR(DATEVALUE(TEXT(Assumptions!B52,"MM/DD/YYYY")),0)&gt;=DATE(2027,11,1),IFERROR(DATEVALUE(TEXT(Assumptions!B52,"MM/DD/YYYY")),0)&lt;=DATE(2027,11,30)),MIN(Assumptions!G52,MAX(0,((('Consolidated P&amp;L'!E23+'Consolidated P&amp;L'!F23+'Consolidated P&amp;L'!G23+'Consolidated P&amp;L'!H23+'Consolidated P&amp;L'!I23+'Consolidated P&amp;L'!J23+'Consolidated P&amp;L'!K23+'Consolidated P&amp;L'!L23+'Consolidated P&amp;L'!M23+'Consolidated P&amp;L'!N23+'Consolidated P&amp;L'!O23+'Consolidated P&amp;L'!P23)*12/12+Assumptions!H52)*Assumptions!B8)-P5)),0)</f>
        <v/>
      </c>
      <c r="Q8" s="156">
        <f>IF(AND(Assumptions!B52&lt;&gt;"",IFERROR(DATEVALUE(TEXT(Assumptions!B52,"MM/DD/YYYY")),0)&gt;=DATE(2027,12,1),IFERROR(DATEVALUE(TEXT(Assumptions!B52,"MM/DD/YYYY")),0)&lt;=DATE(2027,12,31)),MIN(Assumptions!G52,MAX(0,((('Consolidated P&amp;L'!F23+'Consolidated P&amp;L'!G23+'Consolidated P&amp;L'!H23+'Consolidated P&amp;L'!I23+'Consolidated P&amp;L'!J23+'Consolidated P&amp;L'!K23+'Consolidated P&amp;L'!L23+'Consolidated P&amp;L'!M23+'Consolidated P&amp;L'!N23+'Consolidated P&amp;L'!O23+'Consolidated P&amp;L'!P23+'Consolidated P&amp;L'!Q23)*12/12+Assumptions!H52)*Assumptions!B8)-Q5)),0)</f>
        <v/>
      </c>
      <c r="R8" s="156">
        <f>IF(AND(Assumptions!B52&lt;&gt;"",IFERROR(DATEVALUE(TEXT(Assumptions!B52,"MM/DD/YYYY")),0)&gt;=DATE(2028,1,1),IFERROR(DATEVALUE(TEXT(Assumptions!B52,"MM/DD/YYYY")),0)&lt;=DATE(2028,1,31)),MIN(Assumptions!G52,MAX(0,((('Consolidated P&amp;L'!G23+'Consolidated P&amp;L'!H23+'Consolidated P&amp;L'!I23+'Consolidated P&amp;L'!J23+'Consolidated P&amp;L'!K23+'Consolidated P&amp;L'!L23+'Consolidated P&amp;L'!M23+'Consolidated P&amp;L'!N23+'Consolidated P&amp;L'!O23+'Consolidated P&amp;L'!P23+'Consolidated P&amp;L'!Q23+'Consolidated P&amp;L'!R23)*12/12+Assumptions!H52)*Assumptions!B8)-R5)),0)</f>
        <v/>
      </c>
      <c r="S8" s="156">
        <f>IF(AND(Assumptions!B52&lt;&gt;"",IFERROR(DATEVALUE(TEXT(Assumptions!B52,"MM/DD/YYYY")),0)&gt;=DATE(2028,2,1),IFERROR(DATEVALUE(TEXT(Assumptions!B52,"MM/DD/YYYY")),0)&lt;=DATE(2028,2,29)),MIN(Assumptions!G52,MAX(0,((('Consolidated P&amp;L'!H23+'Consolidated P&amp;L'!I23+'Consolidated P&amp;L'!J23+'Consolidated P&amp;L'!K23+'Consolidated P&amp;L'!L23+'Consolidated P&amp;L'!M23+'Consolidated P&amp;L'!N23+'Consolidated P&amp;L'!O23+'Consolidated P&amp;L'!P23+'Consolidated P&amp;L'!Q23+'Consolidated P&amp;L'!R23+'Consolidated P&amp;L'!S23)*12/12+Assumptions!H52)*Assumptions!B8)-S5)),0)</f>
        <v/>
      </c>
      <c r="T8" s="156">
        <f>IF(AND(Assumptions!B52&lt;&gt;"",IFERROR(DATEVALUE(TEXT(Assumptions!B52,"MM/DD/YYYY")),0)&gt;=DATE(2028,3,1),IFERROR(DATEVALUE(TEXT(Assumptions!B52,"MM/DD/YYYY")),0)&lt;=DATE(2028,3,31)),MIN(Assumptions!G52,MAX(0,((('Consolidated P&amp;L'!I23+'Consolidated P&amp;L'!J23+'Consolidated P&amp;L'!K23+'Consolidated P&amp;L'!L23+'Consolidated P&amp;L'!M23+'Consolidated P&amp;L'!N23+'Consolidated P&amp;L'!O23+'Consolidated P&amp;L'!P23+'Consolidated P&amp;L'!Q23+'Consolidated P&amp;L'!R23+'Consolidated P&amp;L'!S23+'Consolidated P&amp;L'!T23)*12/12+Assumptions!H52)*Assumptions!B8)-T5)),0)</f>
        <v/>
      </c>
      <c r="U8" s="156">
        <f>IF(AND(Assumptions!B52&lt;&gt;"",IFERROR(DATEVALUE(TEXT(Assumptions!B52,"MM/DD/YYYY")),0)&gt;=DATE(2028,4,1),IFERROR(DATEVALUE(TEXT(Assumptions!B52,"MM/DD/YYYY")),0)&lt;=DATE(2028,4,30)),MIN(Assumptions!G52,MAX(0,((('Consolidated P&amp;L'!J23+'Consolidated P&amp;L'!K23+'Consolidated P&amp;L'!L23+'Consolidated P&amp;L'!M23+'Consolidated P&amp;L'!N23+'Consolidated P&amp;L'!O23+'Consolidated P&amp;L'!P23+'Consolidated P&amp;L'!Q23+'Consolidated P&amp;L'!R23+'Consolidated P&amp;L'!S23+'Consolidated P&amp;L'!T23+'Consolidated P&amp;L'!U23)*12/12+Assumptions!H52)*Assumptions!B8)-U5)),0)</f>
        <v/>
      </c>
      <c r="V8" s="156">
        <f>IF(AND(Assumptions!B52&lt;&gt;"",IFERROR(DATEVALUE(TEXT(Assumptions!B52,"MM/DD/YYYY")),0)&gt;=DATE(2028,5,1),IFERROR(DATEVALUE(TEXT(Assumptions!B52,"MM/DD/YYYY")),0)&lt;=DATE(2028,5,31)),MIN(Assumptions!G52,MAX(0,((('Consolidated P&amp;L'!K23+'Consolidated P&amp;L'!L23+'Consolidated P&amp;L'!M23+'Consolidated P&amp;L'!N23+'Consolidated P&amp;L'!O23+'Consolidated P&amp;L'!P23+'Consolidated P&amp;L'!Q23+'Consolidated P&amp;L'!R23+'Consolidated P&amp;L'!S23+'Consolidated P&amp;L'!T23+'Consolidated P&amp;L'!U23+'Consolidated P&amp;L'!V23)*12/12+Assumptions!H52)*Assumptions!B8)-V5)),0)</f>
        <v/>
      </c>
      <c r="W8" s="156">
        <f>IF(AND(Assumptions!B52&lt;&gt;"",IFERROR(DATEVALUE(TEXT(Assumptions!B52,"MM/DD/YYYY")),0)&gt;=DATE(2028,6,1),IFERROR(DATEVALUE(TEXT(Assumptions!B52,"MM/DD/YYYY")),0)&lt;=DATE(2028,6,30)),MIN(Assumptions!G52,MAX(0,((('Consolidated P&amp;L'!L23+'Consolidated P&amp;L'!M23+'Consolidated P&amp;L'!N23+'Consolidated P&amp;L'!O23+'Consolidated P&amp;L'!P23+'Consolidated P&amp;L'!Q23+'Consolidated P&amp;L'!R23+'Consolidated P&amp;L'!S23+'Consolidated P&amp;L'!T23+'Consolidated P&amp;L'!U23+'Consolidated P&amp;L'!V23+'Consolidated P&amp;L'!W23)*12/12+Assumptions!H52)*Assumptions!B8)-W5)),0)</f>
        <v/>
      </c>
      <c r="X8" s="156">
        <f>IF(AND(Assumptions!B52&lt;&gt;"",IFERROR(DATEVALUE(TEXT(Assumptions!B52,"MM/DD/YYYY")),0)&gt;=DATE(2028,7,1),IFERROR(DATEVALUE(TEXT(Assumptions!B52,"MM/DD/YYYY")),0)&lt;=DATE(2028,7,31)),MIN(Assumptions!G52,MAX(0,((('Consolidated P&amp;L'!M23+'Consolidated P&amp;L'!N23+'Consolidated P&amp;L'!O23+'Consolidated P&amp;L'!P23+'Consolidated P&amp;L'!Q23+'Consolidated P&amp;L'!R23+'Consolidated P&amp;L'!S23+'Consolidated P&amp;L'!T23+'Consolidated P&amp;L'!U23+'Consolidated P&amp;L'!V23+'Consolidated P&amp;L'!W23+'Consolidated P&amp;L'!X23)*12/12+Assumptions!H52)*Assumptions!B8)-X5)),0)</f>
        <v/>
      </c>
      <c r="Y8" s="156">
        <f>IF(AND(Assumptions!B52&lt;&gt;"",IFERROR(DATEVALUE(TEXT(Assumptions!B52,"MM/DD/YYYY")),0)&gt;=DATE(2028,8,1),IFERROR(DATEVALUE(TEXT(Assumptions!B52,"MM/DD/YYYY")),0)&lt;=DATE(2028,8,31)),MIN(Assumptions!G52,MAX(0,((('Consolidated P&amp;L'!N23+'Consolidated P&amp;L'!O23+'Consolidated P&amp;L'!P23+'Consolidated P&amp;L'!Q23+'Consolidated P&amp;L'!R23+'Consolidated P&amp;L'!S23+'Consolidated P&amp;L'!T23+'Consolidated P&amp;L'!U23+'Consolidated P&amp;L'!V23+'Consolidated P&amp;L'!W23+'Consolidated P&amp;L'!X23+'Consolidated P&amp;L'!Y23)*12/12+Assumptions!H52)*Assumptions!B8)-Y5)),0)</f>
        <v/>
      </c>
      <c r="Z8" s="156">
        <f>IF(AND(Assumptions!B52&lt;&gt;"",IFERROR(DATEVALUE(TEXT(Assumptions!B52,"MM/DD/YYYY")),0)&gt;=DATE(2028,9,1),IFERROR(DATEVALUE(TEXT(Assumptions!B52,"MM/DD/YYYY")),0)&lt;=DATE(2028,9,30)),MIN(Assumptions!G52,MAX(0,((('Consolidated P&amp;L'!O23+'Consolidated P&amp;L'!P23+'Consolidated P&amp;L'!Q23+'Consolidated P&amp;L'!R23+'Consolidated P&amp;L'!S23+'Consolidated P&amp;L'!T23+'Consolidated P&amp;L'!U23+'Consolidated P&amp;L'!V23+'Consolidated P&amp;L'!W23+'Consolidated P&amp;L'!X23+'Consolidated P&amp;L'!Y23+'Consolidated P&amp;L'!Z23)*12/12+Assumptions!H52)*Assumptions!B8)-Z5)),0)</f>
        <v/>
      </c>
      <c r="AA8" s="156">
        <f>IF(AND(Assumptions!B52&lt;&gt;"",IFERROR(DATEVALUE(TEXT(Assumptions!B52,"MM/DD/YYYY")),0)&gt;=DATE(2028,10,1),IFERROR(DATEVALUE(TEXT(Assumptions!B52,"MM/DD/YYYY")),0)&lt;=DATE(2028,10,31)),MIN(Assumptions!G52,MAX(0,((('Consolidated P&amp;L'!P23+'Consolidated P&amp;L'!Q23+'Consolidated P&amp;L'!R23+'Consolidated P&amp;L'!S23+'Consolidated P&amp;L'!T23+'Consolidated P&amp;L'!U23+'Consolidated P&amp;L'!V23+'Consolidated P&amp;L'!W23+'Consolidated P&amp;L'!X23+'Consolidated P&amp;L'!Y23+'Consolidated P&amp;L'!Z23+'Consolidated P&amp;L'!AA23)*12/12+Assumptions!H52)*Assumptions!B8)-AA5)),0)</f>
        <v/>
      </c>
      <c r="AB8" s="156">
        <f>IF(AND(Assumptions!B52&lt;&gt;"",IFERROR(DATEVALUE(TEXT(Assumptions!B52,"MM/DD/YYYY")),0)&gt;=DATE(2028,11,1),IFERROR(DATEVALUE(TEXT(Assumptions!B52,"MM/DD/YYYY")),0)&lt;=DATE(2028,11,30)),MIN(Assumptions!G52,MAX(0,((('Consolidated P&amp;L'!Q23+'Consolidated P&amp;L'!R23+'Consolidated P&amp;L'!S23+'Consolidated P&amp;L'!T23+'Consolidated P&amp;L'!U23+'Consolidated P&amp;L'!V23+'Consolidated P&amp;L'!W23+'Consolidated P&amp;L'!X23+'Consolidated P&amp;L'!Y23+'Consolidated P&amp;L'!Z23+'Consolidated P&amp;L'!AA23+'Consolidated P&amp;L'!AB23)*12/12+Assumptions!H52)*Assumptions!B8)-AB5)),0)</f>
        <v/>
      </c>
      <c r="AC8" s="156">
        <f>IF(AND(Assumptions!B52&lt;&gt;"",IFERROR(DATEVALUE(TEXT(Assumptions!B52,"MM/DD/YYYY")),0)&gt;=DATE(2028,12,1),IFERROR(DATEVALUE(TEXT(Assumptions!B52,"MM/DD/YYYY")),0)&lt;=DATE(2028,12,31)),MIN(Assumptions!G52,MAX(0,((('Consolidated P&amp;L'!R23+'Consolidated P&amp;L'!S23+'Consolidated P&amp;L'!T23+'Consolidated P&amp;L'!U23+'Consolidated P&amp;L'!V23+'Consolidated P&amp;L'!W23+'Consolidated P&amp;L'!X23+'Consolidated P&amp;L'!Y23+'Consolidated P&amp;L'!Z23+'Consolidated P&amp;L'!AA23+'Consolidated P&amp;L'!AB23+'Consolidated P&amp;L'!AC23)*12/12+Assumptions!H52)*Assumptions!B8)-AC5)),0)</f>
        <v/>
      </c>
      <c r="AD8" s="156">
        <f>IF(AND(Assumptions!B52&lt;&gt;"",IFERROR(DATEVALUE(TEXT(Assumptions!B52,"MM/DD/YYYY")),0)&gt;=DATE(2029,1,1),IFERROR(DATEVALUE(TEXT(Assumptions!B52,"MM/DD/YYYY")),0)&lt;=DATE(2029,1,31)),MIN(Assumptions!G52,MAX(0,((('Consolidated P&amp;L'!S23+'Consolidated P&amp;L'!T23+'Consolidated P&amp;L'!U23+'Consolidated P&amp;L'!V23+'Consolidated P&amp;L'!W23+'Consolidated P&amp;L'!X23+'Consolidated P&amp;L'!Y23+'Consolidated P&amp;L'!Z23+'Consolidated P&amp;L'!AA23+'Consolidated P&amp;L'!AB23+'Consolidated P&amp;L'!AC23+'Consolidated P&amp;L'!AD23)*12/12+Assumptions!H52)*Assumptions!B8)-AD5)),0)</f>
        <v/>
      </c>
      <c r="AE8" s="156">
        <f>IF(AND(Assumptions!B52&lt;&gt;"",IFERROR(DATEVALUE(TEXT(Assumptions!B52,"MM/DD/YYYY")),0)&gt;=DATE(2029,2,1),IFERROR(DATEVALUE(TEXT(Assumptions!B52,"MM/DD/YYYY")),0)&lt;=DATE(2029,2,28)),MIN(Assumptions!G52,MAX(0,((('Consolidated P&amp;L'!T23+'Consolidated P&amp;L'!U23+'Consolidated P&amp;L'!V23+'Consolidated P&amp;L'!W23+'Consolidated P&amp;L'!X23+'Consolidated P&amp;L'!Y23+'Consolidated P&amp;L'!Z23+'Consolidated P&amp;L'!AA23+'Consolidated P&amp;L'!AB23+'Consolidated P&amp;L'!AC23+'Consolidated P&amp;L'!AD23+'Consolidated P&amp;L'!AE23)*12/12+Assumptions!H52)*Assumptions!B8)-AE5)),0)</f>
        <v/>
      </c>
      <c r="AF8" s="156">
        <f>IF(AND(Assumptions!B52&lt;&gt;"",IFERROR(DATEVALUE(TEXT(Assumptions!B52,"MM/DD/YYYY")),0)&gt;=DATE(2029,3,1),IFERROR(DATEVALUE(TEXT(Assumptions!B52,"MM/DD/YYYY")),0)&lt;=DATE(2029,3,31)),MIN(Assumptions!G52,MAX(0,((('Consolidated P&amp;L'!U23+'Consolidated P&amp;L'!V23+'Consolidated P&amp;L'!W23+'Consolidated P&amp;L'!X23+'Consolidated P&amp;L'!Y23+'Consolidated P&amp;L'!Z23+'Consolidated P&amp;L'!AA23+'Consolidated P&amp;L'!AB23+'Consolidated P&amp;L'!AC23+'Consolidated P&amp;L'!AD23+'Consolidated P&amp;L'!AE23+'Consolidated P&amp;L'!AF23)*12/12+Assumptions!H52)*Assumptions!B8)-AF5)),0)</f>
        <v/>
      </c>
      <c r="AG8" s="156">
        <f>IF(AND(Assumptions!B52&lt;&gt;"",IFERROR(DATEVALUE(TEXT(Assumptions!B52,"MM/DD/YYYY")),0)&gt;=DATE(2029,4,1),IFERROR(DATEVALUE(TEXT(Assumptions!B52,"MM/DD/YYYY")),0)&lt;=DATE(2029,4,30)),MIN(Assumptions!G52,MAX(0,((('Consolidated P&amp;L'!V23+'Consolidated P&amp;L'!W23+'Consolidated P&amp;L'!X23+'Consolidated P&amp;L'!Y23+'Consolidated P&amp;L'!Z23+'Consolidated P&amp;L'!AA23+'Consolidated P&amp;L'!AB23+'Consolidated P&amp;L'!AC23+'Consolidated P&amp;L'!AD23+'Consolidated P&amp;L'!AE23+'Consolidated P&amp;L'!AF23+'Consolidated P&amp;L'!AG23)*12/12+Assumptions!H52)*Assumptions!B8)-AG5)),0)</f>
        <v/>
      </c>
      <c r="AH8" s="156">
        <f>IF(AND(Assumptions!B52&lt;&gt;"",IFERROR(DATEVALUE(TEXT(Assumptions!B52,"MM/DD/YYYY")),0)&gt;=DATE(2029,5,1),IFERROR(DATEVALUE(TEXT(Assumptions!B52,"MM/DD/YYYY")),0)&lt;=DATE(2029,5,31)),MIN(Assumptions!G52,MAX(0,((('Consolidated P&amp;L'!W23+'Consolidated P&amp;L'!X23+'Consolidated P&amp;L'!Y23+'Consolidated P&amp;L'!Z23+'Consolidated P&amp;L'!AA23+'Consolidated P&amp;L'!AB23+'Consolidated P&amp;L'!AC23+'Consolidated P&amp;L'!AD23+'Consolidated P&amp;L'!AE23+'Consolidated P&amp;L'!AF23+'Consolidated P&amp;L'!AG23+'Consolidated P&amp;L'!AH23)*12/12+Assumptions!H52)*Assumptions!B8)-AH5)),0)</f>
        <v/>
      </c>
      <c r="AI8" s="156">
        <f>IF(AND(Assumptions!B52&lt;&gt;"",IFERROR(DATEVALUE(TEXT(Assumptions!B52,"MM/DD/YYYY")),0)&gt;=DATE(2029,6,1),IFERROR(DATEVALUE(TEXT(Assumptions!B52,"MM/DD/YYYY")),0)&lt;=DATE(2029,6,30)),MIN(Assumptions!G52,MAX(0,((('Consolidated P&amp;L'!X23+'Consolidated P&amp;L'!Y23+'Consolidated P&amp;L'!Z23+'Consolidated P&amp;L'!AA23+'Consolidated P&amp;L'!AB23+'Consolidated P&amp;L'!AC23+'Consolidated P&amp;L'!AD23+'Consolidated P&amp;L'!AE23+'Consolidated P&amp;L'!AF23+'Consolidated P&amp;L'!AG23+'Consolidated P&amp;L'!AH23+'Consolidated P&amp;L'!AI23)*12/12+Assumptions!H52)*Assumptions!B8)-AI5)),0)</f>
        <v/>
      </c>
      <c r="AJ8" s="156">
        <f>IF(AND(Assumptions!B52&lt;&gt;"",IFERROR(DATEVALUE(TEXT(Assumptions!B52,"MM/DD/YYYY")),0)&gt;=DATE(2029,7,1),IFERROR(DATEVALUE(TEXT(Assumptions!B52,"MM/DD/YYYY")),0)&lt;=DATE(2029,7,31)),MIN(Assumptions!G52,MAX(0,((('Consolidated P&amp;L'!Y23+'Consolidated P&amp;L'!Z23+'Consolidated P&amp;L'!AA23+'Consolidated P&amp;L'!AB23+'Consolidated P&amp;L'!AC23+'Consolidated P&amp;L'!AD23+'Consolidated P&amp;L'!AE23+'Consolidated P&amp;L'!AF23+'Consolidated P&amp;L'!AG23+'Consolidated P&amp;L'!AH23+'Consolidated P&amp;L'!AI23+'Consolidated P&amp;L'!AJ23)*12/12+Assumptions!H52)*Assumptions!B8)-AJ5)),0)</f>
        <v/>
      </c>
      <c r="AK8" s="156">
        <f>IF(AND(Assumptions!B52&lt;&gt;"",IFERROR(DATEVALUE(TEXT(Assumptions!B52,"MM/DD/YYYY")),0)&gt;=DATE(2029,8,1),IFERROR(DATEVALUE(TEXT(Assumptions!B52,"MM/DD/YYYY")),0)&lt;=DATE(2029,8,31)),MIN(Assumptions!G52,MAX(0,((('Consolidated P&amp;L'!Z23+'Consolidated P&amp;L'!AA23+'Consolidated P&amp;L'!AB23+'Consolidated P&amp;L'!AC23+'Consolidated P&amp;L'!AD23+'Consolidated P&amp;L'!AE23+'Consolidated P&amp;L'!AF23+'Consolidated P&amp;L'!AG23+'Consolidated P&amp;L'!AH23+'Consolidated P&amp;L'!AI23+'Consolidated P&amp;L'!AJ23+'Consolidated P&amp;L'!AK23)*12/12+Assumptions!H52)*Assumptions!B8)-AK5)),0)</f>
        <v/>
      </c>
      <c r="AL8" s="156">
        <f>IF(AND(Assumptions!B52&lt;&gt;"",IFERROR(DATEVALUE(TEXT(Assumptions!B52,"MM/DD/YYYY")),0)&gt;=DATE(2029,9,1),IFERROR(DATEVALUE(TEXT(Assumptions!B52,"MM/DD/YYYY")),0)&lt;=DATE(2029,9,30)),MIN(Assumptions!G52,MAX(0,((('Consolidated P&amp;L'!AA23+'Consolidated P&amp;L'!AB23+'Consolidated P&amp;L'!AC23+'Consolidated P&amp;L'!AD23+'Consolidated P&amp;L'!AE23+'Consolidated P&amp;L'!AF23+'Consolidated P&amp;L'!AG23+'Consolidated P&amp;L'!AH23+'Consolidated P&amp;L'!AI23+'Consolidated P&amp;L'!AJ23+'Consolidated P&amp;L'!AK23+'Consolidated P&amp;L'!AL23)*12/12+Assumptions!H52)*Assumptions!B8)-AL5)),0)</f>
        <v/>
      </c>
      <c r="AM8" s="156">
        <f>IF(AND(Assumptions!B52&lt;&gt;"",IFERROR(DATEVALUE(TEXT(Assumptions!B52,"MM/DD/YYYY")),0)&gt;=DATE(2029,10,1),IFERROR(DATEVALUE(TEXT(Assumptions!B52,"MM/DD/YYYY")),0)&lt;=DATE(2029,10,31)),MIN(Assumptions!G52,MAX(0,((('Consolidated P&amp;L'!AB23+'Consolidated P&amp;L'!AC23+'Consolidated P&amp;L'!AD23+'Consolidated P&amp;L'!AE23+'Consolidated P&amp;L'!AF23+'Consolidated P&amp;L'!AG23+'Consolidated P&amp;L'!AH23+'Consolidated P&amp;L'!AI23+'Consolidated P&amp;L'!AJ23+'Consolidated P&amp;L'!AK23+'Consolidated P&amp;L'!AL23+'Consolidated P&amp;L'!AM23)*12/12+Assumptions!H52)*Assumptions!B8)-AM5)),0)</f>
        <v/>
      </c>
      <c r="AN8" s="156">
        <f>IF(AND(Assumptions!B52&lt;&gt;"",IFERROR(DATEVALUE(TEXT(Assumptions!B52,"MM/DD/YYYY")),0)&gt;=DATE(2029,11,1),IFERROR(DATEVALUE(TEXT(Assumptions!B52,"MM/DD/YYYY")),0)&lt;=DATE(2029,11,30)),MIN(Assumptions!G52,MAX(0,((('Consolidated P&amp;L'!AC23+'Consolidated P&amp;L'!AD23+'Consolidated P&amp;L'!AE23+'Consolidated P&amp;L'!AF23+'Consolidated P&amp;L'!AG23+'Consolidated P&amp;L'!AH23+'Consolidated P&amp;L'!AI23+'Consolidated P&amp;L'!AJ23+'Consolidated P&amp;L'!AK23+'Consolidated P&amp;L'!AL23+'Consolidated P&amp;L'!AM23+'Consolidated P&amp;L'!AN23)*12/12+Assumptions!H52)*Assumptions!B8)-AN5)),0)</f>
        <v/>
      </c>
      <c r="AO8" s="156">
        <f>IF(AND(Assumptions!B52&lt;&gt;"",IFERROR(DATEVALUE(TEXT(Assumptions!B52,"MM/DD/YYYY")),0)&gt;=DATE(2029,12,1),IFERROR(DATEVALUE(TEXT(Assumptions!B52,"MM/DD/YYYY")),0)&lt;=DATE(2029,12,31)),MIN(Assumptions!G52,MAX(0,((('Consolidated P&amp;L'!AD23+'Consolidated P&amp;L'!AE23+'Consolidated P&amp;L'!AF23+'Consolidated P&amp;L'!AG23+'Consolidated P&amp;L'!AH23+'Consolidated P&amp;L'!AI23+'Consolidated P&amp;L'!AJ23+'Consolidated P&amp;L'!AK23+'Consolidated P&amp;L'!AL23+'Consolidated P&amp;L'!AM23+'Consolidated P&amp;L'!AN23+'Consolidated P&amp;L'!AO23)*12/12+Assumptions!H52)*Assumptions!B8)-AO5)),0)</f>
        <v/>
      </c>
      <c r="AP8" s="156">
        <f>IF(AND(Assumptions!B52&lt;&gt;"",IFERROR(DATEVALUE(TEXT(Assumptions!B52,"MM/DD/YYYY")),0)&gt;=DATE(2030,1,1),IFERROR(DATEVALUE(TEXT(Assumptions!B52,"MM/DD/YYYY")),0)&lt;=DATE(2030,1,31)),MIN(Assumptions!G52,MAX(0,((('Consolidated P&amp;L'!AE23+'Consolidated P&amp;L'!AF23+'Consolidated P&amp;L'!AG23+'Consolidated P&amp;L'!AH23+'Consolidated P&amp;L'!AI23+'Consolidated P&amp;L'!AJ23+'Consolidated P&amp;L'!AK23+'Consolidated P&amp;L'!AL23+'Consolidated P&amp;L'!AM23+'Consolidated P&amp;L'!AN23+'Consolidated P&amp;L'!AO23+'Consolidated P&amp;L'!AP23)*12/12+Assumptions!H52)*Assumptions!B8)-AP5)),0)</f>
        <v/>
      </c>
      <c r="AQ8" s="156">
        <f>IF(AND(Assumptions!B52&lt;&gt;"",IFERROR(DATEVALUE(TEXT(Assumptions!B52,"MM/DD/YYYY")),0)&gt;=DATE(2030,2,1),IFERROR(DATEVALUE(TEXT(Assumptions!B52,"MM/DD/YYYY")),0)&lt;=DATE(2030,2,28)),MIN(Assumptions!G52,MAX(0,((('Consolidated P&amp;L'!AF23+'Consolidated P&amp;L'!AG23+'Consolidated P&amp;L'!AH23+'Consolidated P&amp;L'!AI23+'Consolidated P&amp;L'!AJ23+'Consolidated P&amp;L'!AK23+'Consolidated P&amp;L'!AL23+'Consolidated P&amp;L'!AM23+'Consolidated P&amp;L'!AN23+'Consolidated P&amp;L'!AO23+'Consolidated P&amp;L'!AP23+'Consolidated P&amp;L'!AQ23)*12/12+Assumptions!H52)*Assumptions!B8)-AQ5)),0)</f>
        <v/>
      </c>
      <c r="AR8" s="156">
        <f>IF(AND(Assumptions!B52&lt;&gt;"",IFERROR(DATEVALUE(TEXT(Assumptions!B52,"MM/DD/YYYY")),0)&gt;=DATE(2030,3,1),IFERROR(DATEVALUE(TEXT(Assumptions!B52,"MM/DD/YYYY")),0)&lt;=DATE(2030,3,31)),MIN(Assumptions!G52,MAX(0,((('Consolidated P&amp;L'!AG23+'Consolidated P&amp;L'!AH23+'Consolidated P&amp;L'!AI23+'Consolidated P&amp;L'!AJ23+'Consolidated P&amp;L'!AK23+'Consolidated P&amp;L'!AL23+'Consolidated P&amp;L'!AM23+'Consolidated P&amp;L'!AN23+'Consolidated P&amp;L'!AO23+'Consolidated P&amp;L'!AP23+'Consolidated P&amp;L'!AQ23+'Consolidated P&amp;L'!AR23)*12/12+Assumptions!H52)*Assumptions!B8)-AR5)),0)</f>
        <v/>
      </c>
      <c r="AS8" s="156">
        <f>IF(AND(Assumptions!B52&lt;&gt;"",IFERROR(DATEVALUE(TEXT(Assumptions!B52,"MM/DD/YYYY")),0)&gt;=DATE(2030,4,1),IFERROR(DATEVALUE(TEXT(Assumptions!B52,"MM/DD/YYYY")),0)&lt;=DATE(2030,4,30)),MIN(Assumptions!G52,MAX(0,((('Consolidated P&amp;L'!AH23+'Consolidated P&amp;L'!AI23+'Consolidated P&amp;L'!AJ23+'Consolidated P&amp;L'!AK23+'Consolidated P&amp;L'!AL23+'Consolidated P&amp;L'!AM23+'Consolidated P&amp;L'!AN23+'Consolidated P&amp;L'!AO23+'Consolidated P&amp;L'!AP23+'Consolidated P&amp;L'!AQ23+'Consolidated P&amp;L'!AR23+'Consolidated P&amp;L'!AS23)*12/12+Assumptions!H52)*Assumptions!B8)-AS5)),0)</f>
        <v/>
      </c>
      <c r="AT8" s="156">
        <f>IF(AND(Assumptions!B52&lt;&gt;"",IFERROR(DATEVALUE(TEXT(Assumptions!B52,"MM/DD/YYYY")),0)&gt;=DATE(2030,5,1),IFERROR(DATEVALUE(TEXT(Assumptions!B52,"MM/DD/YYYY")),0)&lt;=DATE(2030,5,31)),MIN(Assumptions!G52,MAX(0,((('Consolidated P&amp;L'!AI23+'Consolidated P&amp;L'!AJ23+'Consolidated P&amp;L'!AK23+'Consolidated P&amp;L'!AL23+'Consolidated P&amp;L'!AM23+'Consolidated P&amp;L'!AN23+'Consolidated P&amp;L'!AO23+'Consolidated P&amp;L'!AP23+'Consolidated P&amp;L'!AQ23+'Consolidated P&amp;L'!AR23+'Consolidated P&amp;L'!AS23+'Consolidated P&amp;L'!AT23)*12/12+Assumptions!H52)*Assumptions!B8)-AT5)),0)</f>
        <v/>
      </c>
      <c r="AU8" s="156">
        <f>IF(AND(Assumptions!B52&lt;&gt;"",IFERROR(DATEVALUE(TEXT(Assumptions!B52,"MM/DD/YYYY")),0)&gt;=DATE(2030,6,1),IFERROR(DATEVALUE(TEXT(Assumptions!B52,"MM/DD/YYYY")),0)&lt;=DATE(2030,6,30)),MIN(Assumptions!G52,MAX(0,((('Consolidated P&amp;L'!AJ23+'Consolidated P&amp;L'!AK23+'Consolidated P&amp;L'!AL23+'Consolidated P&amp;L'!AM23+'Consolidated P&amp;L'!AN23+'Consolidated P&amp;L'!AO23+'Consolidated P&amp;L'!AP23+'Consolidated P&amp;L'!AQ23+'Consolidated P&amp;L'!AR23+'Consolidated P&amp;L'!AS23+'Consolidated P&amp;L'!AT23+'Consolidated P&amp;L'!AU23)*12/12+Assumptions!H52)*Assumptions!B8)-AU5)),0)</f>
        <v/>
      </c>
      <c r="AV8" s="156">
        <f>IF(AND(Assumptions!B52&lt;&gt;"",IFERROR(DATEVALUE(TEXT(Assumptions!B52,"MM/DD/YYYY")),0)&gt;=DATE(2030,7,1),IFERROR(DATEVALUE(TEXT(Assumptions!B52,"MM/DD/YYYY")),0)&lt;=DATE(2030,7,31)),MIN(Assumptions!G52,MAX(0,((('Consolidated P&amp;L'!AK23+'Consolidated P&amp;L'!AL23+'Consolidated P&amp;L'!AM23+'Consolidated P&amp;L'!AN23+'Consolidated P&amp;L'!AO23+'Consolidated P&amp;L'!AP23+'Consolidated P&amp;L'!AQ23+'Consolidated P&amp;L'!AR23+'Consolidated P&amp;L'!AS23+'Consolidated P&amp;L'!AT23+'Consolidated P&amp;L'!AU23+'Consolidated P&amp;L'!AV23)*12/12+Assumptions!H52)*Assumptions!B8)-AV5)),0)</f>
        <v/>
      </c>
      <c r="AW8" s="156">
        <f>IF(AND(Assumptions!B52&lt;&gt;"",IFERROR(DATEVALUE(TEXT(Assumptions!B52,"MM/DD/YYYY")),0)&gt;=DATE(2030,8,1),IFERROR(DATEVALUE(TEXT(Assumptions!B52,"MM/DD/YYYY")),0)&lt;=DATE(2030,8,31)),MIN(Assumptions!G52,MAX(0,((('Consolidated P&amp;L'!AL23+'Consolidated P&amp;L'!AM23+'Consolidated P&amp;L'!AN23+'Consolidated P&amp;L'!AO23+'Consolidated P&amp;L'!AP23+'Consolidated P&amp;L'!AQ23+'Consolidated P&amp;L'!AR23+'Consolidated P&amp;L'!AS23+'Consolidated P&amp;L'!AT23+'Consolidated P&amp;L'!AU23+'Consolidated P&amp;L'!AV23+'Consolidated P&amp;L'!AW23)*12/12+Assumptions!H52)*Assumptions!B8)-AW5)),0)</f>
        <v/>
      </c>
      <c r="AX8" s="156">
        <f>IF(AND(Assumptions!B52&lt;&gt;"",IFERROR(DATEVALUE(TEXT(Assumptions!B52,"MM/DD/YYYY")),0)&gt;=DATE(2030,9,1),IFERROR(DATEVALUE(TEXT(Assumptions!B52,"MM/DD/YYYY")),0)&lt;=DATE(2030,9,30)),MIN(Assumptions!G52,MAX(0,((('Consolidated P&amp;L'!AM23+'Consolidated P&amp;L'!AN23+'Consolidated P&amp;L'!AO23+'Consolidated P&amp;L'!AP23+'Consolidated P&amp;L'!AQ23+'Consolidated P&amp;L'!AR23+'Consolidated P&amp;L'!AS23+'Consolidated P&amp;L'!AT23+'Consolidated P&amp;L'!AU23+'Consolidated P&amp;L'!AV23+'Consolidated P&amp;L'!AW23+'Consolidated P&amp;L'!AX23)*12/12+Assumptions!H52)*Assumptions!B8)-AX5)),0)</f>
        <v/>
      </c>
      <c r="AY8" s="156">
        <f>IF(AND(Assumptions!B52&lt;&gt;"",IFERROR(DATEVALUE(TEXT(Assumptions!B52,"MM/DD/YYYY")),0)&gt;=DATE(2030,10,1),IFERROR(DATEVALUE(TEXT(Assumptions!B52,"MM/DD/YYYY")),0)&lt;=DATE(2030,10,31)),MIN(Assumptions!G52,MAX(0,((('Consolidated P&amp;L'!AN23+'Consolidated P&amp;L'!AO23+'Consolidated P&amp;L'!AP23+'Consolidated P&amp;L'!AQ23+'Consolidated P&amp;L'!AR23+'Consolidated P&amp;L'!AS23+'Consolidated P&amp;L'!AT23+'Consolidated P&amp;L'!AU23+'Consolidated P&amp;L'!AV23+'Consolidated P&amp;L'!AW23+'Consolidated P&amp;L'!AX23+'Consolidated P&amp;L'!AY23)*12/12+Assumptions!H52)*Assumptions!B8)-AY5)),0)</f>
        <v/>
      </c>
      <c r="AZ8" s="156">
        <f>IF(AND(Assumptions!B52&lt;&gt;"",IFERROR(DATEVALUE(TEXT(Assumptions!B52,"MM/DD/YYYY")),0)&gt;=DATE(2030,11,1),IFERROR(DATEVALUE(TEXT(Assumptions!B52,"MM/DD/YYYY")),0)&lt;=DATE(2030,11,30)),MIN(Assumptions!G52,MAX(0,((('Consolidated P&amp;L'!AO23+'Consolidated P&amp;L'!AP23+'Consolidated P&amp;L'!AQ23+'Consolidated P&amp;L'!AR23+'Consolidated P&amp;L'!AS23+'Consolidated P&amp;L'!AT23+'Consolidated P&amp;L'!AU23+'Consolidated P&amp;L'!AV23+'Consolidated P&amp;L'!AW23+'Consolidated P&amp;L'!AX23+'Consolidated P&amp;L'!AY23+'Consolidated P&amp;L'!AZ23)*12/12+Assumptions!H52)*Assumptions!B8)-AZ5)),0)</f>
        <v/>
      </c>
      <c r="BA8" s="156">
        <f>IF(AND(Assumptions!B52&lt;&gt;"",IFERROR(DATEVALUE(TEXT(Assumptions!B52,"MM/DD/YYYY")),0)&gt;=DATE(2030,12,1),IFERROR(DATEVALUE(TEXT(Assumptions!B52,"MM/DD/YYYY")),0)&lt;=DATE(2030,12,31)),MIN(Assumptions!G52,MAX(0,((('Consolidated P&amp;L'!AP23+'Consolidated P&amp;L'!AQ23+'Consolidated P&amp;L'!AR23+'Consolidated P&amp;L'!AS23+'Consolidated P&amp;L'!AT23+'Consolidated P&amp;L'!AU23+'Consolidated P&amp;L'!AV23+'Consolidated P&amp;L'!AW23+'Consolidated P&amp;L'!AX23+'Consolidated P&amp;L'!AY23+'Consolidated P&amp;L'!AZ23+'Consolidated P&amp;L'!BA23)*12/12+Assumptions!H52)*Assumptions!B8)-BA5)),0)</f>
        <v/>
      </c>
      <c r="BB8" s="156">
        <f>IF(AND(Assumptions!B52&lt;&gt;"",IFERROR(DATEVALUE(TEXT(Assumptions!B52,"MM/DD/YYYY")),0)&gt;=DATE(2031,1,1),IFERROR(DATEVALUE(TEXT(Assumptions!B52,"MM/DD/YYYY")),0)&lt;=DATE(2031,1,31)),MIN(Assumptions!G52,MAX(0,((('Consolidated P&amp;L'!AQ23+'Consolidated P&amp;L'!AR23+'Consolidated P&amp;L'!AS23+'Consolidated P&amp;L'!AT23+'Consolidated P&amp;L'!AU23+'Consolidated P&amp;L'!AV23+'Consolidated P&amp;L'!AW23+'Consolidated P&amp;L'!AX23+'Consolidated P&amp;L'!AY23+'Consolidated P&amp;L'!AZ23+'Consolidated P&amp;L'!BA23+'Consolidated P&amp;L'!BB23)*12/12+Assumptions!H52)*Assumptions!B8)-BB5)),0)</f>
        <v/>
      </c>
      <c r="BC8" s="156">
        <f>IF(AND(Assumptions!B52&lt;&gt;"",IFERROR(DATEVALUE(TEXT(Assumptions!B52,"MM/DD/YYYY")),0)&gt;=DATE(2031,2,1),IFERROR(DATEVALUE(TEXT(Assumptions!B52,"MM/DD/YYYY")),0)&lt;=DATE(2031,2,28)),MIN(Assumptions!G52,MAX(0,((('Consolidated P&amp;L'!AR23+'Consolidated P&amp;L'!AS23+'Consolidated P&amp;L'!AT23+'Consolidated P&amp;L'!AU23+'Consolidated P&amp;L'!AV23+'Consolidated P&amp;L'!AW23+'Consolidated P&amp;L'!AX23+'Consolidated P&amp;L'!AY23+'Consolidated P&amp;L'!AZ23+'Consolidated P&amp;L'!BA23+'Consolidated P&amp;L'!BB23+'Consolidated P&amp;L'!BC23)*12/12+Assumptions!H52)*Assumptions!B8)-BC5)),0)</f>
        <v/>
      </c>
      <c r="BD8" s="156">
        <f>IF(AND(Assumptions!B52&lt;&gt;"",IFERROR(DATEVALUE(TEXT(Assumptions!B52,"MM/DD/YYYY")),0)&gt;=DATE(2031,3,1),IFERROR(DATEVALUE(TEXT(Assumptions!B52,"MM/DD/YYYY")),0)&lt;=DATE(2031,3,31)),MIN(Assumptions!G52,MAX(0,((('Consolidated P&amp;L'!AS23+'Consolidated P&amp;L'!AT23+'Consolidated P&amp;L'!AU23+'Consolidated P&amp;L'!AV23+'Consolidated P&amp;L'!AW23+'Consolidated P&amp;L'!AX23+'Consolidated P&amp;L'!AY23+'Consolidated P&amp;L'!AZ23+'Consolidated P&amp;L'!BA23+'Consolidated P&amp;L'!BB23+'Consolidated P&amp;L'!BC23+'Consolidated P&amp;L'!BD23)*12/12+Assumptions!H52)*Assumptions!B8)-BD5)),0)</f>
        <v/>
      </c>
      <c r="BE8" s="156">
        <f>IF(AND(Assumptions!B52&lt;&gt;"",IFERROR(DATEVALUE(TEXT(Assumptions!B52,"MM/DD/YYYY")),0)&gt;=DATE(2031,4,1),IFERROR(DATEVALUE(TEXT(Assumptions!B52,"MM/DD/YYYY")),0)&lt;=DATE(2031,4,30)),MIN(Assumptions!G52,MAX(0,((('Consolidated P&amp;L'!AT23+'Consolidated P&amp;L'!AU23+'Consolidated P&amp;L'!AV23+'Consolidated P&amp;L'!AW23+'Consolidated P&amp;L'!AX23+'Consolidated P&amp;L'!AY23+'Consolidated P&amp;L'!AZ23+'Consolidated P&amp;L'!BA23+'Consolidated P&amp;L'!BB23+'Consolidated P&amp;L'!BC23+'Consolidated P&amp;L'!BD23+'Consolidated P&amp;L'!BE23)*12/12+Assumptions!H52)*Assumptions!B8)-BE5)),0)</f>
        <v/>
      </c>
      <c r="BF8" s="156">
        <f>IF(AND(Assumptions!B52&lt;&gt;"",IFERROR(DATEVALUE(TEXT(Assumptions!B52,"MM/DD/YYYY")),0)&gt;=DATE(2031,5,1),IFERROR(DATEVALUE(TEXT(Assumptions!B52,"MM/DD/YYYY")),0)&lt;=DATE(2031,5,31)),MIN(Assumptions!G52,MAX(0,((('Consolidated P&amp;L'!AU23+'Consolidated P&amp;L'!AV23+'Consolidated P&amp;L'!AW23+'Consolidated P&amp;L'!AX23+'Consolidated P&amp;L'!AY23+'Consolidated P&amp;L'!AZ23+'Consolidated P&amp;L'!BA23+'Consolidated P&amp;L'!BB23+'Consolidated P&amp;L'!BC23+'Consolidated P&amp;L'!BD23+'Consolidated P&amp;L'!BE23+'Consolidated P&amp;L'!BF23)*12/12+Assumptions!H52)*Assumptions!B8)-BF5)),0)</f>
        <v/>
      </c>
      <c r="BG8" s="156">
        <f>IF(AND(Assumptions!B52&lt;&gt;"",IFERROR(DATEVALUE(TEXT(Assumptions!B52,"MM/DD/YYYY")),0)&gt;=DATE(2031,6,1),IFERROR(DATEVALUE(TEXT(Assumptions!B52,"MM/DD/YYYY")),0)&lt;=DATE(2031,6,30)),MIN(Assumptions!G52,MAX(0,((('Consolidated P&amp;L'!AV23+'Consolidated P&amp;L'!AW23+'Consolidated P&amp;L'!AX23+'Consolidated P&amp;L'!AY23+'Consolidated P&amp;L'!AZ23+'Consolidated P&amp;L'!BA23+'Consolidated P&amp;L'!BB23+'Consolidated P&amp;L'!BC23+'Consolidated P&amp;L'!BD23+'Consolidated P&amp;L'!BE23+'Consolidated P&amp;L'!BF23+'Consolidated P&amp;L'!BG23)*12/12+Assumptions!H52)*Assumptions!B8)-BG5)),0)</f>
        <v/>
      </c>
      <c r="BH8" s="156">
        <f>IF(AND(Assumptions!B52&lt;&gt;"",IFERROR(DATEVALUE(TEXT(Assumptions!B52,"MM/DD/YYYY")),0)&gt;=DATE(2031,7,1),IFERROR(DATEVALUE(TEXT(Assumptions!B52,"MM/DD/YYYY")),0)&lt;=DATE(2031,7,31)),MIN(Assumptions!G52,MAX(0,((('Consolidated P&amp;L'!AW23+'Consolidated P&amp;L'!AX23+'Consolidated P&amp;L'!AY23+'Consolidated P&amp;L'!AZ23+'Consolidated P&amp;L'!BA23+'Consolidated P&amp;L'!BB23+'Consolidated P&amp;L'!BC23+'Consolidated P&amp;L'!BD23+'Consolidated P&amp;L'!BE23+'Consolidated P&amp;L'!BF23+'Consolidated P&amp;L'!BG23+'Consolidated P&amp;L'!BH23)*12/12+Assumptions!H52)*Assumptions!B8)-BH5)),0)</f>
        <v/>
      </c>
      <c r="BI8" s="156">
        <f>IF(AND(Assumptions!B52&lt;&gt;"",IFERROR(DATEVALUE(TEXT(Assumptions!B52,"MM/DD/YYYY")),0)&gt;=DATE(2031,8,1),IFERROR(DATEVALUE(TEXT(Assumptions!B52,"MM/DD/YYYY")),0)&lt;=DATE(2031,8,31)),MIN(Assumptions!G52,MAX(0,((('Consolidated P&amp;L'!AX23+'Consolidated P&amp;L'!AY23+'Consolidated P&amp;L'!AZ23+'Consolidated P&amp;L'!BA23+'Consolidated P&amp;L'!BB23+'Consolidated P&amp;L'!BC23+'Consolidated P&amp;L'!BD23+'Consolidated P&amp;L'!BE23+'Consolidated P&amp;L'!BF23+'Consolidated P&amp;L'!BG23+'Consolidated P&amp;L'!BH23+'Consolidated P&amp;L'!BI23)*12/12+Assumptions!H52)*Assumptions!B8)-BI5)),0)</f>
        <v/>
      </c>
      <c r="BJ8" s="156">
        <f>IF(AND(Assumptions!B52&lt;&gt;"",IFERROR(DATEVALUE(TEXT(Assumptions!B52,"MM/DD/YYYY")),0)&gt;=DATE(2031,9,1),IFERROR(DATEVALUE(TEXT(Assumptions!B52,"MM/DD/YYYY")),0)&lt;=DATE(2031,9,30)),MIN(Assumptions!G52,MAX(0,((('Consolidated P&amp;L'!AY23+'Consolidated P&amp;L'!AZ23+'Consolidated P&amp;L'!BA23+'Consolidated P&amp;L'!BB23+'Consolidated P&amp;L'!BC23+'Consolidated P&amp;L'!BD23+'Consolidated P&amp;L'!BE23+'Consolidated P&amp;L'!BF23+'Consolidated P&amp;L'!BG23+'Consolidated P&amp;L'!BH23+'Consolidated P&amp;L'!BI23+'Consolidated P&amp;L'!BJ23)*12/12+Assumptions!H52)*Assumptions!B8)-BJ5)),0)</f>
        <v/>
      </c>
      <c r="BL8" s="157">
        <f>C8+D8+E8+F8+G8+H8+I8+J8+K8+L8+M8+N8</f>
        <v/>
      </c>
      <c r="BM8" s="157">
        <f>O8+P8+Q8+R8+S8+T8+U8+V8+W8+X8+Y8+Z8</f>
        <v/>
      </c>
      <c r="BN8" s="157">
        <f>AA8+AB8+AC8+AD8+AE8+AF8+AG8+AH8+AI8+AJ8+AK8+AL8</f>
        <v/>
      </c>
      <c r="BO8" s="157">
        <f>AM8+AN8+AO8+AP8+AQ8+AR8+AS8+AT8+AU8+AV8+AW8+AX8</f>
        <v/>
      </c>
      <c r="BP8" s="157">
        <f>AY8+AZ8+BA8+BB8+BC8+BD8+BE8+BF8+BG8+BH8+BI8+BJ8</f>
        <v/>
      </c>
    </row>
    <row r="9" ht="15" customHeight="1" s="104">
      <c r="A9" s="107" t="inlineStr">
        <is>
          <t xml:space="preserve">    Add-On 3 Debt Draw</t>
        </is>
      </c>
      <c r="C9" s="156">
        <f>IF(AND(Assumptions!B53&lt;&gt;"",IFERROR(DATEVALUE(TEXT(Assumptions!B53,"MM/DD/YYYY")),0)&gt;=DATE(2026,10,1),IFERROR(DATEVALUE(TEXT(Assumptions!B53,"MM/DD/YYYY")),0)&lt;=DATE(2026,10,31)),MIN(Assumptions!G53,MAX(0,((('Consolidated P&amp;L'!C23)*12/1+Assumptions!H53)*Assumptions!B8)-C5)),0)</f>
        <v/>
      </c>
      <c r="D9" s="156">
        <f>IF(AND(Assumptions!B53&lt;&gt;"",IFERROR(DATEVALUE(TEXT(Assumptions!B53,"MM/DD/YYYY")),0)&gt;=DATE(2026,11,1),IFERROR(DATEVALUE(TEXT(Assumptions!B53,"MM/DD/YYYY")),0)&lt;=DATE(2026,11,30)),MIN(Assumptions!G53,MAX(0,((('Consolidated P&amp;L'!C23+'Consolidated P&amp;L'!D23)*12/2+Assumptions!H53)*Assumptions!B8)-D5)),0)</f>
        <v/>
      </c>
      <c r="E9" s="156">
        <f>IF(AND(Assumptions!B53&lt;&gt;"",IFERROR(DATEVALUE(TEXT(Assumptions!B53,"MM/DD/YYYY")),0)&gt;=DATE(2026,12,1),IFERROR(DATEVALUE(TEXT(Assumptions!B53,"MM/DD/YYYY")),0)&lt;=DATE(2026,12,31)),MIN(Assumptions!G53,MAX(0,((('Consolidated P&amp;L'!C23+'Consolidated P&amp;L'!D23+'Consolidated P&amp;L'!E23)*12/3+Assumptions!H53)*Assumptions!B8)-E5)),0)</f>
        <v/>
      </c>
      <c r="F9" s="156">
        <f>IF(AND(Assumptions!B53&lt;&gt;"",IFERROR(DATEVALUE(TEXT(Assumptions!B53,"MM/DD/YYYY")),0)&gt;=DATE(2027,1,1),IFERROR(DATEVALUE(TEXT(Assumptions!B53,"MM/DD/YYYY")),0)&lt;=DATE(2027,1,31)),MIN(Assumptions!G53,MAX(0,((('Consolidated P&amp;L'!C23+'Consolidated P&amp;L'!D23+'Consolidated P&amp;L'!E23+'Consolidated P&amp;L'!F23)*12/4+Assumptions!H53)*Assumptions!B8)-F5)),0)</f>
        <v/>
      </c>
      <c r="G9" s="156">
        <f>IF(AND(Assumptions!B53&lt;&gt;"",IFERROR(DATEVALUE(TEXT(Assumptions!B53,"MM/DD/YYYY")),0)&gt;=DATE(2027,2,1),IFERROR(DATEVALUE(TEXT(Assumptions!B53,"MM/DD/YYYY")),0)&lt;=DATE(2027,2,28)),MIN(Assumptions!G53,MAX(0,((('Consolidated P&amp;L'!C23+'Consolidated P&amp;L'!D23+'Consolidated P&amp;L'!E23+'Consolidated P&amp;L'!F23+'Consolidated P&amp;L'!G23)*12/5+Assumptions!H53)*Assumptions!B8)-G5)),0)</f>
        <v/>
      </c>
      <c r="H9" s="156">
        <f>IF(AND(Assumptions!B53&lt;&gt;"",IFERROR(DATEVALUE(TEXT(Assumptions!B53,"MM/DD/YYYY")),0)&gt;=DATE(2027,3,1),IFERROR(DATEVALUE(TEXT(Assumptions!B53,"MM/DD/YYYY")),0)&lt;=DATE(2027,3,31)),MIN(Assumptions!G53,MAX(0,((('Consolidated P&amp;L'!C23+'Consolidated P&amp;L'!D23+'Consolidated P&amp;L'!E23+'Consolidated P&amp;L'!F23+'Consolidated P&amp;L'!G23+'Consolidated P&amp;L'!H23)*12/6+Assumptions!H53)*Assumptions!B8)-H5)),0)</f>
        <v/>
      </c>
      <c r="I9" s="156">
        <f>IF(AND(Assumptions!B53&lt;&gt;"",IFERROR(DATEVALUE(TEXT(Assumptions!B53,"MM/DD/YYYY")),0)&gt;=DATE(2027,4,1),IFERROR(DATEVALUE(TEXT(Assumptions!B53,"MM/DD/YYYY")),0)&lt;=DATE(2027,4,30)),MIN(Assumptions!G53,MAX(0,((('Consolidated P&amp;L'!C23+'Consolidated P&amp;L'!D23+'Consolidated P&amp;L'!E23+'Consolidated P&amp;L'!F23+'Consolidated P&amp;L'!G23+'Consolidated P&amp;L'!H23+'Consolidated P&amp;L'!I23)*12/7+Assumptions!H53)*Assumptions!B8)-I5)),0)</f>
        <v/>
      </c>
      <c r="J9" s="156">
        <f>IF(AND(Assumptions!B53&lt;&gt;"",IFERROR(DATEVALUE(TEXT(Assumptions!B53,"MM/DD/YYYY")),0)&gt;=DATE(2027,5,1),IFERROR(DATEVALUE(TEXT(Assumptions!B53,"MM/DD/YYYY")),0)&lt;=DATE(2027,5,31)),MIN(Assumptions!G53,MAX(0,((('Consolidated P&amp;L'!C23+'Consolidated P&amp;L'!D23+'Consolidated P&amp;L'!E23+'Consolidated P&amp;L'!F23+'Consolidated P&amp;L'!G23+'Consolidated P&amp;L'!H23+'Consolidated P&amp;L'!I23+'Consolidated P&amp;L'!J23)*12/8+Assumptions!H53)*Assumptions!B8)-J5)),0)</f>
        <v/>
      </c>
      <c r="K9" s="156">
        <f>IF(AND(Assumptions!B53&lt;&gt;"",IFERROR(DATEVALUE(TEXT(Assumptions!B53,"MM/DD/YYYY")),0)&gt;=DATE(2027,6,1),IFERROR(DATEVALUE(TEXT(Assumptions!B53,"MM/DD/YYYY")),0)&lt;=DATE(2027,6,30)),MIN(Assumptions!G53,MAX(0,((('Consolidated P&amp;L'!C23+'Consolidated P&amp;L'!D23+'Consolidated P&amp;L'!E23+'Consolidated P&amp;L'!F23+'Consolidated P&amp;L'!G23+'Consolidated P&amp;L'!H23+'Consolidated P&amp;L'!I23+'Consolidated P&amp;L'!J23+'Consolidated P&amp;L'!K23)*12/9+Assumptions!H53)*Assumptions!B8)-K5)),0)</f>
        <v/>
      </c>
      <c r="L9" s="156">
        <f>IF(AND(Assumptions!B53&lt;&gt;"",IFERROR(DATEVALUE(TEXT(Assumptions!B53,"MM/DD/YYYY")),0)&gt;=DATE(2027,7,1),IFERROR(DATEVALUE(TEXT(Assumptions!B53,"MM/DD/YYYY")),0)&lt;=DATE(2027,7,31)),MIN(Assumptions!G53,MAX(0,((('Consolidated P&amp;L'!C23+'Consolidated P&amp;L'!D23+'Consolidated P&amp;L'!E23+'Consolidated P&amp;L'!F23+'Consolidated P&amp;L'!G23+'Consolidated P&amp;L'!H23+'Consolidated P&amp;L'!I23+'Consolidated P&amp;L'!J23+'Consolidated P&amp;L'!K23+'Consolidated P&amp;L'!L23)*12/10+Assumptions!H53)*Assumptions!B8)-L5)),0)</f>
        <v/>
      </c>
      <c r="M9" s="156">
        <f>IF(AND(Assumptions!B53&lt;&gt;"",IFERROR(DATEVALUE(TEXT(Assumptions!B53,"MM/DD/YYYY")),0)&gt;=DATE(2027,8,1),IFERROR(DATEVALUE(TEXT(Assumptions!B53,"MM/DD/YYYY")),0)&lt;=DATE(2027,8,31)),MIN(Assumptions!G53,MAX(0,((('Consolidated P&amp;L'!C23+'Consolidated P&amp;L'!D23+'Consolidated P&amp;L'!E23+'Consolidated P&amp;L'!F23+'Consolidated P&amp;L'!G23+'Consolidated P&amp;L'!H23+'Consolidated P&amp;L'!I23+'Consolidated P&amp;L'!J23+'Consolidated P&amp;L'!K23+'Consolidated P&amp;L'!L23+'Consolidated P&amp;L'!M23)*12/11+Assumptions!H53)*Assumptions!B8)-M5)),0)</f>
        <v/>
      </c>
      <c r="N9" s="156">
        <f>IF(AND(Assumptions!B53&lt;&gt;"",IFERROR(DATEVALUE(TEXT(Assumptions!B53,"MM/DD/YYYY")),0)&gt;=DATE(2027,9,1),IFERROR(DATEVALUE(TEXT(Assumptions!B53,"MM/DD/YYYY")),0)&lt;=DATE(2027,9,30)),MIN(Assumptions!G53,MAX(0,((('Consolidated P&amp;L'!C23+'Consolidated P&amp;L'!D23+'Consolidated P&amp;L'!E23+'Consolidated P&amp;L'!F23+'Consolidated P&amp;L'!G23+'Consolidated P&amp;L'!H23+'Consolidated P&amp;L'!I23+'Consolidated P&amp;L'!J23+'Consolidated P&amp;L'!K23+'Consolidated P&amp;L'!L23+'Consolidated P&amp;L'!M23+'Consolidated P&amp;L'!N23)*12/12+Assumptions!H53)*Assumptions!B8)-N5)),0)</f>
        <v/>
      </c>
      <c r="O9" s="156">
        <f>IF(AND(Assumptions!B53&lt;&gt;"",IFERROR(DATEVALUE(TEXT(Assumptions!B53,"MM/DD/YYYY")),0)&gt;=DATE(2027,10,1),IFERROR(DATEVALUE(TEXT(Assumptions!B53,"MM/DD/YYYY")),0)&lt;=DATE(2027,10,31)),MIN(Assumptions!G53,MAX(0,((('Consolidated P&amp;L'!D23+'Consolidated P&amp;L'!E23+'Consolidated P&amp;L'!F23+'Consolidated P&amp;L'!G23+'Consolidated P&amp;L'!H23+'Consolidated P&amp;L'!I23+'Consolidated P&amp;L'!J23+'Consolidated P&amp;L'!K23+'Consolidated P&amp;L'!L23+'Consolidated P&amp;L'!M23+'Consolidated P&amp;L'!N23+'Consolidated P&amp;L'!O23)*12/12+Assumptions!H53)*Assumptions!B8)-O5)),0)</f>
        <v/>
      </c>
      <c r="P9" s="156">
        <f>IF(AND(Assumptions!B53&lt;&gt;"",IFERROR(DATEVALUE(TEXT(Assumptions!B53,"MM/DD/YYYY")),0)&gt;=DATE(2027,11,1),IFERROR(DATEVALUE(TEXT(Assumptions!B53,"MM/DD/YYYY")),0)&lt;=DATE(2027,11,30)),MIN(Assumptions!G53,MAX(0,((('Consolidated P&amp;L'!E23+'Consolidated P&amp;L'!F23+'Consolidated P&amp;L'!G23+'Consolidated P&amp;L'!H23+'Consolidated P&amp;L'!I23+'Consolidated P&amp;L'!J23+'Consolidated P&amp;L'!K23+'Consolidated P&amp;L'!L23+'Consolidated P&amp;L'!M23+'Consolidated P&amp;L'!N23+'Consolidated P&amp;L'!O23+'Consolidated P&amp;L'!P23)*12/12+Assumptions!H53)*Assumptions!B8)-P5)),0)</f>
        <v/>
      </c>
      <c r="Q9" s="156">
        <f>IF(AND(Assumptions!B53&lt;&gt;"",IFERROR(DATEVALUE(TEXT(Assumptions!B53,"MM/DD/YYYY")),0)&gt;=DATE(2027,12,1),IFERROR(DATEVALUE(TEXT(Assumptions!B53,"MM/DD/YYYY")),0)&lt;=DATE(2027,12,31)),MIN(Assumptions!G53,MAX(0,((('Consolidated P&amp;L'!F23+'Consolidated P&amp;L'!G23+'Consolidated P&amp;L'!H23+'Consolidated P&amp;L'!I23+'Consolidated P&amp;L'!J23+'Consolidated P&amp;L'!K23+'Consolidated P&amp;L'!L23+'Consolidated P&amp;L'!M23+'Consolidated P&amp;L'!N23+'Consolidated P&amp;L'!O23+'Consolidated P&amp;L'!P23+'Consolidated P&amp;L'!Q23)*12/12+Assumptions!H53)*Assumptions!B8)-Q5)),0)</f>
        <v/>
      </c>
      <c r="R9" s="156">
        <f>IF(AND(Assumptions!B53&lt;&gt;"",IFERROR(DATEVALUE(TEXT(Assumptions!B53,"MM/DD/YYYY")),0)&gt;=DATE(2028,1,1),IFERROR(DATEVALUE(TEXT(Assumptions!B53,"MM/DD/YYYY")),0)&lt;=DATE(2028,1,31)),MIN(Assumptions!G53,MAX(0,((('Consolidated P&amp;L'!G23+'Consolidated P&amp;L'!H23+'Consolidated P&amp;L'!I23+'Consolidated P&amp;L'!J23+'Consolidated P&amp;L'!K23+'Consolidated P&amp;L'!L23+'Consolidated P&amp;L'!M23+'Consolidated P&amp;L'!N23+'Consolidated P&amp;L'!O23+'Consolidated P&amp;L'!P23+'Consolidated P&amp;L'!Q23+'Consolidated P&amp;L'!R23)*12/12+Assumptions!H53)*Assumptions!B8)-R5)),0)</f>
        <v/>
      </c>
      <c r="S9" s="156">
        <f>IF(AND(Assumptions!B53&lt;&gt;"",IFERROR(DATEVALUE(TEXT(Assumptions!B53,"MM/DD/YYYY")),0)&gt;=DATE(2028,2,1),IFERROR(DATEVALUE(TEXT(Assumptions!B53,"MM/DD/YYYY")),0)&lt;=DATE(2028,2,29)),MIN(Assumptions!G53,MAX(0,((('Consolidated P&amp;L'!H23+'Consolidated P&amp;L'!I23+'Consolidated P&amp;L'!J23+'Consolidated P&amp;L'!K23+'Consolidated P&amp;L'!L23+'Consolidated P&amp;L'!M23+'Consolidated P&amp;L'!N23+'Consolidated P&amp;L'!O23+'Consolidated P&amp;L'!P23+'Consolidated P&amp;L'!Q23+'Consolidated P&amp;L'!R23+'Consolidated P&amp;L'!S23)*12/12+Assumptions!H53)*Assumptions!B8)-S5)),0)</f>
        <v/>
      </c>
      <c r="T9" s="156">
        <f>IF(AND(Assumptions!B53&lt;&gt;"",IFERROR(DATEVALUE(TEXT(Assumptions!B53,"MM/DD/YYYY")),0)&gt;=DATE(2028,3,1),IFERROR(DATEVALUE(TEXT(Assumptions!B53,"MM/DD/YYYY")),0)&lt;=DATE(2028,3,31)),MIN(Assumptions!G53,MAX(0,((('Consolidated P&amp;L'!I23+'Consolidated P&amp;L'!J23+'Consolidated P&amp;L'!K23+'Consolidated P&amp;L'!L23+'Consolidated P&amp;L'!M23+'Consolidated P&amp;L'!N23+'Consolidated P&amp;L'!O23+'Consolidated P&amp;L'!P23+'Consolidated P&amp;L'!Q23+'Consolidated P&amp;L'!R23+'Consolidated P&amp;L'!S23+'Consolidated P&amp;L'!T23)*12/12+Assumptions!H53)*Assumptions!B8)-T5)),0)</f>
        <v/>
      </c>
      <c r="U9" s="156">
        <f>IF(AND(Assumptions!B53&lt;&gt;"",IFERROR(DATEVALUE(TEXT(Assumptions!B53,"MM/DD/YYYY")),0)&gt;=DATE(2028,4,1),IFERROR(DATEVALUE(TEXT(Assumptions!B53,"MM/DD/YYYY")),0)&lt;=DATE(2028,4,30)),MIN(Assumptions!G53,MAX(0,((('Consolidated P&amp;L'!J23+'Consolidated P&amp;L'!K23+'Consolidated P&amp;L'!L23+'Consolidated P&amp;L'!M23+'Consolidated P&amp;L'!N23+'Consolidated P&amp;L'!O23+'Consolidated P&amp;L'!P23+'Consolidated P&amp;L'!Q23+'Consolidated P&amp;L'!R23+'Consolidated P&amp;L'!S23+'Consolidated P&amp;L'!T23+'Consolidated P&amp;L'!U23)*12/12+Assumptions!H53)*Assumptions!B8)-U5)),0)</f>
        <v/>
      </c>
      <c r="V9" s="156">
        <f>IF(AND(Assumptions!B53&lt;&gt;"",IFERROR(DATEVALUE(TEXT(Assumptions!B53,"MM/DD/YYYY")),0)&gt;=DATE(2028,5,1),IFERROR(DATEVALUE(TEXT(Assumptions!B53,"MM/DD/YYYY")),0)&lt;=DATE(2028,5,31)),MIN(Assumptions!G53,MAX(0,((('Consolidated P&amp;L'!K23+'Consolidated P&amp;L'!L23+'Consolidated P&amp;L'!M23+'Consolidated P&amp;L'!N23+'Consolidated P&amp;L'!O23+'Consolidated P&amp;L'!P23+'Consolidated P&amp;L'!Q23+'Consolidated P&amp;L'!R23+'Consolidated P&amp;L'!S23+'Consolidated P&amp;L'!T23+'Consolidated P&amp;L'!U23+'Consolidated P&amp;L'!V23)*12/12+Assumptions!H53)*Assumptions!B8)-V5)),0)</f>
        <v/>
      </c>
      <c r="W9" s="156">
        <f>IF(AND(Assumptions!B53&lt;&gt;"",IFERROR(DATEVALUE(TEXT(Assumptions!B53,"MM/DD/YYYY")),0)&gt;=DATE(2028,6,1),IFERROR(DATEVALUE(TEXT(Assumptions!B53,"MM/DD/YYYY")),0)&lt;=DATE(2028,6,30)),MIN(Assumptions!G53,MAX(0,((('Consolidated P&amp;L'!L23+'Consolidated P&amp;L'!M23+'Consolidated P&amp;L'!N23+'Consolidated P&amp;L'!O23+'Consolidated P&amp;L'!P23+'Consolidated P&amp;L'!Q23+'Consolidated P&amp;L'!R23+'Consolidated P&amp;L'!S23+'Consolidated P&amp;L'!T23+'Consolidated P&amp;L'!U23+'Consolidated P&amp;L'!V23+'Consolidated P&amp;L'!W23)*12/12+Assumptions!H53)*Assumptions!B8)-W5)),0)</f>
        <v/>
      </c>
      <c r="X9" s="156">
        <f>IF(AND(Assumptions!B53&lt;&gt;"",IFERROR(DATEVALUE(TEXT(Assumptions!B53,"MM/DD/YYYY")),0)&gt;=DATE(2028,7,1),IFERROR(DATEVALUE(TEXT(Assumptions!B53,"MM/DD/YYYY")),0)&lt;=DATE(2028,7,31)),MIN(Assumptions!G53,MAX(0,((('Consolidated P&amp;L'!M23+'Consolidated P&amp;L'!N23+'Consolidated P&amp;L'!O23+'Consolidated P&amp;L'!P23+'Consolidated P&amp;L'!Q23+'Consolidated P&amp;L'!R23+'Consolidated P&amp;L'!S23+'Consolidated P&amp;L'!T23+'Consolidated P&amp;L'!U23+'Consolidated P&amp;L'!V23+'Consolidated P&amp;L'!W23+'Consolidated P&amp;L'!X23)*12/12+Assumptions!H53)*Assumptions!B8)-X5)),0)</f>
        <v/>
      </c>
      <c r="Y9" s="156">
        <f>IF(AND(Assumptions!B53&lt;&gt;"",IFERROR(DATEVALUE(TEXT(Assumptions!B53,"MM/DD/YYYY")),0)&gt;=DATE(2028,8,1),IFERROR(DATEVALUE(TEXT(Assumptions!B53,"MM/DD/YYYY")),0)&lt;=DATE(2028,8,31)),MIN(Assumptions!G53,MAX(0,((('Consolidated P&amp;L'!N23+'Consolidated P&amp;L'!O23+'Consolidated P&amp;L'!P23+'Consolidated P&amp;L'!Q23+'Consolidated P&amp;L'!R23+'Consolidated P&amp;L'!S23+'Consolidated P&amp;L'!T23+'Consolidated P&amp;L'!U23+'Consolidated P&amp;L'!V23+'Consolidated P&amp;L'!W23+'Consolidated P&amp;L'!X23+'Consolidated P&amp;L'!Y23)*12/12+Assumptions!H53)*Assumptions!B8)-Y5)),0)</f>
        <v/>
      </c>
      <c r="Z9" s="156">
        <f>IF(AND(Assumptions!B53&lt;&gt;"",IFERROR(DATEVALUE(TEXT(Assumptions!B53,"MM/DD/YYYY")),0)&gt;=DATE(2028,9,1),IFERROR(DATEVALUE(TEXT(Assumptions!B53,"MM/DD/YYYY")),0)&lt;=DATE(2028,9,30)),MIN(Assumptions!G53,MAX(0,((('Consolidated P&amp;L'!O23+'Consolidated P&amp;L'!P23+'Consolidated P&amp;L'!Q23+'Consolidated P&amp;L'!R23+'Consolidated P&amp;L'!S23+'Consolidated P&amp;L'!T23+'Consolidated P&amp;L'!U23+'Consolidated P&amp;L'!V23+'Consolidated P&amp;L'!W23+'Consolidated P&amp;L'!X23+'Consolidated P&amp;L'!Y23+'Consolidated P&amp;L'!Z23)*12/12+Assumptions!H53)*Assumptions!B8)-Z5)),0)</f>
        <v/>
      </c>
      <c r="AA9" s="156">
        <f>IF(AND(Assumptions!B53&lt;&gt;"",IFERROR(DATEVALUE(TEXT(Assumptions!B53,"MM/DD/YYYY")),0)&gt;=DATE(2028,10,1),IFERROR(DATEVALUE(TEXT(Assumptions!B53,"MM/DD/YYYY")),0)&lt;=DATE(2028,10,31)),MIN(Assumptions!G53,MAX(0,((('Consolidated P&amp;L'!P23+'Consolidated P&amp;L'!Q23+'Consolidated P&amp;L'!R23+'Consolidated P&amp;L'!S23+'Consolidated P&amp;L'!T23+'Consolidated P&amp;L'!U23+'Consolidated P&amp;L'!V23+'Consolidated P&amp;L'!W23+'Consolidated P&amp;L'!X23+'Consolidated P&amp;L'!Y23+'Consolidated P&amp;L'!Z23+'Consolidated P&amp;L'!AA23)*12/12+Assumptions!H53)*Assumptions!B8)-AA5)),0)</f>
        <v/>
      </c>
      <c r="AB9" s="156">
        <f>IF(AND(Assumptions!B53&lt;&gt;"",IFERROR(DATEVALUE(TEXT(Assumptions!B53,"MM/DD/YYYY")),0)&gt;=DATE(2028,11,1),IFERROR(DATEVALUE(TEXT(Assumptions!B53,"MM/DD/YYYY")),0)&lt;=DATE(2028,11,30)),MIN(Assumptions!G53,MAX(0,((('Consolidated P&amp;L'!Q23+'Consolidated P&amp;L'!R23+'Consolidated P&amp;L'!S23+'Consolidated P&amp;L'!T23+'Consolidated P&amp;L'!U23+'Consolidated P&amp;L'!V23+'Consolidated P&amp;L'!W23+'Consolidated P&amp;L'!X23+'Consolidated P&amp;L'!Y23+'Consolidated P&amp;L'!Z23+'Consolidated P&amp;L'!AA23+'Consolidated P&amp;L'!AB23)*12/12+Assumptions!H53)*Assumptions!B8)-AB5)),0)</f>
        <v/>
      </c>
      <c r="AC9" s="156">
        <f>IF(AND(Assumptions!B53&lt;&gt;"",IFERROR(DATEVALUE(TEXT(Assumptions!B53,"MM/DD/YYYY")),0)&gt;=DATE(2028,12,1),IFERROR(DATEVALUE(TEXT(Assumptions!B53,"MM/DD/YYYY")),0)&lt;=DATE(2028,12,31)),MIN(Assumptions!G53,MAX(0,((('Consolidated P&amp;L'!R23+'Consolidated P&amp;L'!S23+'Consolidated P&amp;L'!T23+'Consolidated P&amp;L'!U23+'Consolidated P&amp;L'!V23+'Consolidated P&amp;L'!W23+'Consolidated P&amp;L'!X23+'Consolidated P&amp;L'!Y23+'Consolidated P&amp;L'!Z23+'Consolidated P&amp;L'!AA23+'Consolidated P&amp;L'!AB23+'Consolidated P&amp;L'!AC23)*12/12+Assumptions!H53)*Assumptions!B8)-AC5)),0)</f>
        <v/>
      </c>
      <c r="AD9" s="156">
        <f>IF(AND(Assumptions!B53&lt;&gt;"",IFERROR(DATEVALUE(TEXT(Assumptions!B53,"MM/DD/YYYY")),0)&gt;=DATE(2029,1,1),IFERROR(DATEVALUE(TEXT(Assumptions!B53,"MM/DD/YYYY")),0)&lt;=DATE(2029,1,31)),MIN(Assumptions!G53,MAX(0,((('Consolidated P&amp;L'!S23+'Consolidated P&amp;L'!T23+'Consolidated P&amp;L'!U23+'Consolidated P&amp;L'!V23+'Consolidated P&amp;L'!W23+'Consolidated P&amp;L'!X23+'Consolidated P&amp;L'!Y23+'Consolidated P&amp;L'!Z23+'Consolidated P&amp;L'!AA23+'Consolidated P&amp;L'!AB23+'Consolidated P&amp;L'!AC23+'Consolidated P&amp;L'!AD23)*12/12+Assumptions!H53)*Assumptions!B8)-AD5)),0)</f>
        <v/>
      </c>
      <c r="AE9" s="156">
        <f>IF(AND(Assumptions!B53&lt;&gt;"",IFERROR(DATEVALUE(TEXT(Assumptions!B53,"MM/DD/YYYY")),0)&gt;=DATE(2029,2,1),IFERROR(DATEVALUE(TEXT(Assumptions!B53,"MM/DD/YYYY")),0)&lt;=DATE(2029,2,28)),MIN(Assumptions!G53,MAX(0,((('Consolidated P&amp;L'!T23+'Consolidated P&amp;L'!U23+'Consolidated P&amp;L'!V23+'Consolidated P&amp;L'!W23+'Consolidated P&amp;L'!X23+'Consolidated P&amp;L'!Y23+'Consolidated P&amp;L'!Z23+'Consolidated P&amp;L'!AA23+'Consolidated P&amp;L'!AB23+'Consolidated P&amp;L'!AC23+'Consolidated P&amp;L'!AD23+'Consolidated P&amp;L'!AE23)*12/12+Assumptions!H53)*Assumptions!B8)-AE5)),0)</f>
        <v/>
      </c>
      <c r="AF9" s="156">
        <f>IF(AND(Assumptions!B53&lt;&gt;"",IFERROR(DATEVALUE(TEXT(Assumptions!B53,"MM/DD/YYYY")),0)&gt;=DATE(2029,3,1),IFERROR(DATEVALUE(TEXT(Assumptions!B53,"MM/DD/YYYY")),0)&lt;=DATE(2029,3,31)),MIN(Assumptions!G53,MAX(0,((('Consolidated P&amp;L'!U23+'Consolidated P&amp;L'!V23+'Consolidated P&amp;L'!W23+'Consolidated P&amp;L'!X23+'Consolidated P&amp;L'!Y23+'Consolidated P&amp;L'!Z23+'Consolidated P&amp;L'!AA23+'Consolidated P&amp;L'!AB23+'Consolidated P&amp;L'!AC23+'Consolidated P&amp;L'!AD23+'Consolidated P&amp;L'!AE23+'Consolidated P&amp;L'!AF23)*12/12+Assumptions!H53)*Assumptions!B8)-AF5)),0)</f>
        <v/>
      </c>
      <c r="AG9" s="156">
        <f>IF(AND(Assumptions!B53&lt;&gt;"",IFERROR(DATEVALUE(TEXT(Assumptions!B53,"MM/DD/YYYY")),0)&gt;=DATE(2029,4,1),IFERROR(DATEVALUE(TEXT(Assumptions!B53,"MM/DD/YYYY")),0)&lt;=DATE(2029,4,30)),MIN(Assumptions!G53,MAX(0,((('Consolidated P&amp;L'!V23+'Consolidated P&amp;L'!W23+'Consolidated P&amp;L'!X23+'Consolidated P&amp;L'!Y23+'Consolidated P&amp;L'!Z23+'Consolidated P&amp;L'!AA23+'Consolidated P&amp;L'!AB23+'Consolidated P&amp;L'!AC23+'Consolidated P&amp;L'!AD23+'Consolidated P&amp;L'!AE23+'Consolidated P&amp;L'!AF23+'Consolidated P&amp;L'!AG23)*12/12+Assumptions!H53)*Assumptions!B8)-AG5)),0)</f>
        <v/>
      </c>
      <c r="AH9" s="156">
        <f>IF(AND(Assumptions!B53&lt;&gt;"",IFERROR(DATEVALUE(TEXT(Assumptions!B53,"MM/DD/YYYY")),0)&gt;=DATE(2029,5,1),IFERROR(DATEVALUE(TEXT(Assumptions!B53,"MM/DD/YYYY")),0)&lt;=DATE(2029,5,31)),MIN(Assumptions!G53,MAX(0,((('Consolidated P&amp;L'!W23+'Consolidated P&amp;L'!X23+'Consolidated P&amp;L'!Y23+'Consolidated P&amp;L'!Z23+'Consolidated P&amp;L'!AA23+'Consolidated P&amp;L'!AB23+'Consolidated P&amp;L'!AC23+'Consolidated P&amp;L'!AD23+'Consolidated P&amp;L'!AE23+'Consolidated P&amp;L'!AF23+'Consolidated P&amp;L'!AG23+'Consolidated P&amp;L'!AH23)*12/12+Assumptions!H53)*Assumptions!B8)-AH5)),0)</f>
        <v/>
      </c>
      <c r="AI9" s="156">
        <f>IF(AND(Assumptions!B53&lt;&gt;"",IFERROR(DATEVALUE(TEXT(Assumptions!B53,"MM/DD/YYYY")),0)&gt;=DATE(2029,6,1),IFERROR(DATEVALUE(TEXT(Assumptions!B53,"MM/DD/YYYY")),0)&lt;=DATE(2029,6,30)),MIN(Assumptions!G53,MAX(0,((('Consolidated P&amp;L'!X23+'Consolidated P&amp;L'!Y23+'Consolidated P&amp;L'!Z23+'Consolidated P&amp;L'!AA23+'Consolidated P&amp;L'!AB23+'Consolidated P&amp;L'!AC23+'Consolidated P&amp;L'!AD23+'Consolidated P&amp;L'!AE23+'Consolidated P&amp;L'!AF23+'Consolidated P&amp;L'!AG23+'Consolidated P&amp;L'!AH23+'Consolidated P&amp;L'!AI23)*12/12+Assumptions!H53)*Assumptions!B8)-AI5)),0)</f>
        <v/>
      </c>
      <c r="AJ9" s="156">
        <f>IF(AND(Assumptions!B53&lt;&gt;"",IFERROR(DATEVALUE(TEXT(Assumptions!B53,"MM/DD/YYYY")),0)&gt;=DATE(2029,7,1),IFERROR(DATEVALUE(TEXT(Assumptions!B53,"MM/DD/YYYY")),0)&lt;=DATE(2029,7,31)),MIN(Assumptions!G53,MAX(0,((('Consolidated P&amp;L'!Y23+'Consolidated P&amp;L'!Z23+'Consolidated P&amp;L'!AA23+'Consolidated P&amp;L'!AB23+'Consolidated P&amp;L'!AC23+'Consolidated P&amp;L'!AD23+'Consolidated P&amp;L'!AE23+'Consolidated P&amp;L'!AF23+'Consolidated P&amp;L'!AG23+'Consolidated P&amp;L'!AH23+'Consolidated P&amp;L'!AI23+'Consolidated P&amp;L'!AJ23)*12/12+Assumptions!H53)*Assumptions!B8)-AJ5)),0)</f>
        <v/>
      </c>
      <c r="AK9" s="156">
        <f>IF(AND(Assumptions!B53&lt;&gt;"",IFERROR(DATEVALUE(TEXT(Assumptions!B53,"MM/DD/YYYY")),0)&gt;=DATE(2029,8,1),IFERROR(DATEVALUE(TEXT(Assumptions!B53,"MM/DD/YYYY")),0)&lt;=DATE(2029,8,31)),MIN(Assumptions!G53,MAX(0,((('Consolidated P&amp;L'!Z23+'Consolidated P&amp;L'!AA23+'Consolidated P&amp;L'!AB23+'Consolidated P&amp;L'!AC23+'Consolidated P&amp;L'!AD23+'Consolidated P&amp;L'!AE23+'Consolidated P&amp;L'!AF23+'Consolidated P&amp;L'!AG23+'Consolidated P&amp;L'!AH23+'Consolidated P&amp;L'!AI23+'Consolidated P&amp;L'!AJ23+'Consolidated P&amp;L'!AK23)*12/12+Assumptions!H53)*Assumptions!B8)-AK5)),0)</f>
        <v/>
      </c>
      <c r="AL9" s="156">
        <f>IF(AND(Assumptions!B53&lt;&gt;"",IFERROR(DATEVALUE(TEXT(Assumptions!B53,"MM/DD/YYYY")),0)&gt;=DATE(2029,9,1),IFERROR(DATEVALUE(TEXT(Assumptions!B53,"MM/DD/YYYY")),0)&lt;=DATE(2029,9,30)),MIN(Assumptions!G53,MAX(0,((('Consolidated P&amp;L'!AA23+'Consolidated P&amp;L'!AB23+'Consolidated P&amp;L'!AC23+'Consolidated P&amp;L'!AD23+'Consolidated P&amp;L'!AE23+'Consolidated P&amp;L'!AF23+'Consolidated P&amp;L'!AG23+'Consolidated P&amp;L'!AH23+'Consolidated P&amp;L'!AI23+'Consolidated P&amp;L'!AJ23+'Consolidated P&amp;L'!AK23+'Consolidated P&amp;L'!AL23)*12/12+Assumptions!H53)*Assumptions!B8)-AL5)),0)</f>
        <v/>
      </c>
      <c r="AM9" s="156">
        <f>IF(AND(Assumptions!B53&lt;&gt;"",IFERROR(DATEVALUE(TEXT(Assumptions!B53,"MM/DD/YYYY")),0)&gt;=DATE(2029,10,1),IFERROR(DATEVALUE(TEXT(Assumptions!B53,"MM/DD/YYYY")),0)&lt;=DATE(2029,10,31)),MIN(Assumptions!G53,MAX(0,((('Consolidated P&amp;L'!AB23+'Consolidated P&amp;L'!AC23+'Consolidated P&amp;L'!AD23+'Consolidated P&amp;L'!AE23+'Consolidated P&amp;L'!AF23+'Consolidated P&amp;L'!AG23+'Consolidated P&amp;L'!AH23+'Consolidated P&amp;L'!AI23+'Consolidated P&amp;L'!AJ23+'Consolidated P&amp;L'!AK23+'Consolidated P&amp;L'!AL23+'Consolidated P&amp;L'!AM23)*12/12+Assumptions!H53)*Assumptions!B8)-AM5)),0)</f>
        <v/>
      </c>
      <c r="AN9" s="156">
        <f>IF(AND(Assumptions!B53&lt;&gt;"",IFERROR(DATEVALUE(TEXT(Assumptions!B53,"MM/DD/YYYY")),0)&gt;=DATE(2029,11,1),IFERROR(DATEVALUE(TEXT(Assumptions!B53,"MM/DD/YYYY")),0)&lt;=DATE(2029,11,30)),MIN(Assumptions!G53,MAX(0,((('Consolidated P&amp;L'!AC23+'Consolidated P&amp;L'!AD23+'Consolidated P&amp;L'!AE23+'Consolidated P&amp;L'!AF23+'Consolidated P&amp;L'!AG23+'Consolidated P&amp;L'!AH23+'Consolidated P&amp;L'!AI23+'Consolidated P&amp;L'!AJ23+'Consolidated P&amp;L'!AK23+'Consolidated P&amp;L'!AL23+'Consolidated P&amp;L'!AM23+'Consolidated P&amp;L'!AN23)*12/12+Assumptions!H53)*Assumptions!B8)-AN5)),0)</f>
        <v/>
      </c>
      <c r="AO9" s="156">
        <f>IF(AND(Assumptions!B53&lt;&gt;"",IFERROR(DATEVALUE(TEXT(Assumptions!B53,"MM/DD/YYYY")),0)&gt;=DATE(2029,12,1),IFERROR(DATEVALUE(TEXT(Assumptions!B53,"MM/DD/YYYY")),0)&lt;=DATE(2029,12,31)),MIN(Assumptions!G53,MAX(0,((('Consolidated P&amp;L'!AD23+'Consolidated P&amp;L'!AE23+'Consolidated P&amp;L'!AF23+'Consolidated P&amp;L'!AG23+'Consolidated P&amp;L'!AH23+'Consolidated P&amp;L'!AI23+'Consolidated P&amp;L'!AJ23+'Consolidated P&amp;L'!AK23+'Consolidated P&amp;L'!AL23+'Consolidated P&amp;L'!AM23+'Consolidated P&amp;L'!AN23+'Consolidated P&amp;L'!AO23)*12/12+Assumptions!H53)*Assumptions!B8)-AO5)),0)</f>
        <v/>
      </c>
      <c r="AP9" s="156">
        <f>IF(AND(Assumptions!B53&lt;&gt;"",IFERROR(DATEVALUE(TEXT(Assumptions!B53,"MM/DD/YYYY")),0)&gt;=DATE(2030,1,1),IFERROR(DATEVALUE(TEXT(Assumptions!B53,"MM/DD/YYYY")),0)&lt;=DATE(2030,1,31)),MIN(Assumptions!G53,MAX(0,((('Consolidated P&amp;L'!AE23+'Consolidated P&amp;L'!AF23+'Consolidated P&amp;L'!AG23+'Consolidated P&amp;L'!AH23+'Consolidated P&amp;L'!AI23+'Consolidated P&amp;L'!AJ23+'Consolidated P&amp;L'!AK23+'Consolidated P&amp;L'!AL23+'Consolidated P&amp;L'!AM23+'Consolidated P&amp;L'!AN23+'Consolidated P&amp;L'!AO23+'Consolidated P&amp;L'!AP23)*12/12+Assumptions!H53)*Assumptions!B8)-AP5)),0)</f>
        <v/>
      </c>
      <c r="AQ9" s="156">
        <f>IF(AND(Assumptions!B53&lt;&gt;"",IFERROR(DATEVALUE(TEXT(Assumptions!B53,"MM/DD/YYYY")),0)&gt;=DATE(2030,2,1),IFERROR(DATEVALUE(TEXT(Assumptions!B53,"MM/DD/YYYY")),0)&lt;=DATE(2030,2,28)),MIN(Assumptions!G53,MAX(0,((('Consolidated P&amp;L'!AF23+'Consolidated P&amp;L'!AG23+'Consolidated P&amp;L'!AH23+'Consolidated P&amp;L'!AI23+'Consolidated P&amp;L'!AJ23+'Consolidated P&amp;L'!AK23+'Consolidated P&amp;L'!AL23+'Consolidated P&amp;L'!AM23+'Consolidated P&amp;L'!AN23+'Consolidated P&amp;L'!AO23+'Consolidated P&amp;L'!AP23+'Consolidated P&amp;L'!AQ23)*12/12+Assumptions!H53)*Assumptions!B8)-AQ5)),0)</f>
        <v/>
      </c>
      <c r="AR9" s="156">
        <f>IF(AND(Assumptions!B53&lt;&gt;"",IFERROR(DATEVALUE(TEXT(Assumptions!B53,"MM/DD/YYYY")),0)&gt;=DATE(2030,3,1),IFERROR(DATEVALUE(TEXT(Assumptions!B53,"MM/DD/YYYY")),0)&lt;=DATE(2030,3,31)),MIN(Assumptions!G53,MAX(0,((('Consolidated P&amp;L'!AG23+'Consolidated P&amp;L'!AH23+'Consolidated P&amp;L'!AI23+'Consolidated P&amp;L'!AJ23+'Consolidated P&amp;L'!AK23+'Consolidated P&amp;L'!AL23+'Consolidated P&amp;L'!AM23+'Consolidated P&amp;L'!AN23+'Consolidated P&amp;L'!AO23+'Consolidated P&amp;L'!AP23+'Consolidated P&amp;L'!AQ23+'Consolidated P&amp;L'!AR23)*12/12+Assumptions!H53)*Assumptions!B8)-AR5)),0)</f>
        <v/>
      </c>
      <c r="AS9" s="156">
        <f>IF(AND(Assumptions!B53&lt;&gt;"",IFERROR(DATEVALUE(TEXT(Assumptions!B53,"MM/DD/YYYY")),0)&gt;=DATE(2030,4,1),IFERROR(DATEVALUE(TEXT(Assumptions!B53,"MM/DD/YYYY")),0)&lt;=DATE(2030,4,30)),MIN(Assumptions!G53,MAX(0,((('Consolidated P&amp;L'!AH23+'Consolidated P&amp;L'!AI23+'Consolidated P&amp;L'!AJ23+'Consolidated P&amp;L'!AK23+'Consolidated P&amp;L'!AL23+'Consolidated P&amp;L'!AM23+'Consolidated P&amp;L'!AN23+'Consolidated P&amp;L'!AO23+'Consolidated P&amp;L'!AP23+'Consolidated P&amp;L'!AQ23+'Consolidated P&amp;L'!AR23+'Consolidated P&amp;L'!AS23)*12/12+Assumptions!H53)*Assumptions!B8)-AS5)),0)</f>
        <v/>
      </c>
      <c r="AT9" s="156">
        <f>IF(AND(Assumptions!B53&lt;&gt;"",IFERROR(DATEVALUE(TEXT(Assumptions!B53,"MM/DD/YYYY")),0)&gt;=DATE(2030,5,1),IFERROR(DATEVALUE(TEXT(Assumptions!B53,"MM/DD/YYYY")),0)&lt;=DATE(2030,5,31)),MIN(Assumptions!G53,MAX(0,((('Consolidated P&amp;L'!AI23+'Consolidated P&amp;L'!AJ23+'Consolidated P&amp;L'!AK23+'Consolidated P&amp;L'!AL23+'Consolidated P&amp;L'!AM23+'Consolidated P&amp;L'!AN23+'Consolidated P&amp;L'!AO23+'Consolidated P&amp;L'!AP23+'Consolidated P&amp;L'!AQ23+'Consolidated P&amp;L'!AR23+'Consolidated P&amp;L'!AS23+'Consolidated P&amp;L'!AT23)*12/12+Assumptions!H53)*Assumptions!B8)-AT5)),0)</f>
        <v/>
      </c>
      <c r="AU9" s="156">
        <f>IF(AND(Assumptions!B53&lt;&gt;"",IFERROR(DATEVALUE(TEXT(Assumptions!B53,"MM/DD/YYYY")),0)&gt;=DATE(2030,6,1),IFERROR(DATEVALUE(TEXT(Assumptions!B53,"MM/DD/YYYY")),0)&lt;=DATE(2030,6,30)),MIN(Assumptions!G53,MAX(0,((('Consolidated P&amp;L'!AJ23+'Consolidated P&amp;L'!AK23+'Consolidated P&amp;L'!AL23+'Consolidated P&amp;L'!AM23+'Consolidated P&amp;L'!AN23+'Consolidated P&amp;L'!AO23+'Consolidated P&amp;L'!AP23+'Consolidated P&amp;L'!AQ23+'Consolidated P&amp;L'!AR23+'Consolidated P&amp;L'!AS23+'Consolidated P&amp;L'!AT23+'Consolidated P&amp;L'!AU23)*12/12+Assumptions!H53)*Assumptions!B8)-AU5)),0)</f>
        <v/>
      </c>
      <c r="AV9" s="156">
        <f>IF(AND(Assumptions!B53&lt;&gt;"",IFERROR(DATEVALUE(TEXT(Assumptions!B53,"MM/DD/YYYY")),0)&gt;=DATE(2030,7,1),IFERROR(DATEVALUE(TEXT(Assumptions!B53,"MM/DD/YYYY")),0)&lt;=DATE(2030,7,31)),MIN(Assumptions!G53,MAX(0,((('Consolidated P&amp;L'!AK23+'Consolidated P&amp;L'!AL23+'Consolidated P&amp;L'!AM23+'Consolidated P&amp;L'!AN23+'Consolidated P&amp;L'!AO23+'Consolidated P&amp;L'!AP23+'Consolidated P&amp;L'!AQ23+'Consolidated P&amp;L'!AR23+'Consolidated P&amp;L'!AS23+'Consolidated P&amp;L'!AT23+'Consolidated P&amp;L'!AU23+'Consolidated P&amp;L'!AV23)*12/12+Assumptions!H53)*Assumptions!B8)-AV5)),0)</f>
        <v/>
      </c>
      <c r="AW9" s="156">
        <f>IF(AND(Assumptions!B53&lt;&gt;"",IFERROR(DATEVALUE(TEXT(Assumptions!B53,"MM/DD/YYYY")),0)&gt;=DATE(2030,8,1),IFERROR(DATEVALUE(TEXT(Assumptions!B53,"MM/DD/YYYY")),0)&lt;=DATE(2030,8,31)),MIN(Assumptions!G53,MAX(0,((('Consolidated P&amp;L'!AL23+'Consolidated P&amp;L'!AM23+'Consolidated P&amp;L'!AN23+'Consolidated P&amp;L'!AO23+'Consolidated P&amp;L'!AP23+'Consolidated P&amp;L'!AQ23+'Consolidated P&amp;L'!AR23+'Consolidated P&amp;L'!AS23+'Consolidated P&amp;L'!AT23+'Consolidated P&amp;L'!AU23+'Consolidated P&amp;L'!AV23+'Consolidated P&amp;L'!AW23)*12/12+Assumptions!H53)*Assumptions!B8)-AW5)),0)</f>
        <v/>
      </c>
      <c r="AX9" s="156">
        <f>IF(AND(Assumptions!B53&lt;&gt;"",IFERROR(DATEVALUE(TEXT(Assumptions!B53,"MM/DD/YYYY")),0)&gt;=DATE(2030,9,1),IFERROR(DATEVALUE(TEXT(Assumptions!B53,"MM/DD/YYYY")),0)&lt;=DATE(2030,9,30)),MIN(Assumptions!G53,MAX(0,((('Consolidated P&amp;L'!AM23+'Consolidated P&amp;L'!AN23+'Consolidated P&amp;L'!AO23+'Consolidated P&amp;L'!AP23+'Consolidated P&amp;L'!AQ23+'Consolidated P&amp;L'!AR23+'Consolidated P&amp;L'!AS23+'Consolidated P&amp;L'!AT23+'Consolidated P&amp;L'!AU23+'Consolidated P&amp;L'!AV23+'Consolidated P&amp;L'!AW23+'Consolidated P&amp;L'!AX23)*12/12+Assumptions!H53)*Assumptions!B8)-AX5)),0)</f>
        <v/>
      </c>
      <c r="AY9" s="156">
        <f>IF(AND(Assumptions!B53&lt;&gt;"",IFERROR(DATEVALUE(TEXT(Assumptions!B53,"MM/DD/YYYY")),0)&gt;=DATE(2030,10,1),IFERROR(DATEVALUE(TEXT(Assumptions!B53,"MM/DD/YYYY")),0)&lt;=DATE(2030,10,31)),MIN(Assumptions!G53,MAX(0,((('Consolidated P&amp;L'!AN23+'Consolidated P&amp;L'!AO23+'Consolidated P&amp;L'!AP23+'Consolidated P&amp;L'!AQ23+'Consolidated P&amp;L'!AR23+'Consolidated P&amp;L'!AS23+'Consolidated P&amp;L'!AT23+'Consolidated P&amp;L'!AU23+'Consolidated P&amp;L'!AV23+'Consolidated P&amp;L'!AW23+'Consolidated P&amp;L'!AX23+'Consolidated P&amp;L'!AY23)*12/12+Assumptions!H53)*Assumptions!B8)-AY5)),0)</f>
        <v/>
      </c>
      <c r="AZ9" s="156">
        <f>IF(AND(Assumptions!B53&lt;&gt;"",IFERROR(DATEVALUE(TEXT(Assumptions!B53,"MM/DD/YYYY")),0)&gt;=DATE(2030,11,1),IFERROR(DATEVALUE(TEXT(Assumptions!B53,"MM/DD/YYYY")),0)&lt;=DATE(2030,11,30)),MIN(Assumptions!G53,MAX(0,((('Consolidated P&amp;L'!AO23+'Consolidated P&amp;L'!AP23+'Consolidated P&amp;L'!AQ23+'Consolidated P&amp;L'!AR23+'Consolidated P&amp;L'!AS23+'Consolidated P&amp;L'!AT23+'Consolidated P&amp;L'!AU23+'Consolidated P&amp;L'!AV23+'Consolidated P&amp;L'!AW23+'Consolidated P&amp;L'!AX23+'Consolidated P&amp;L'!AY23+'Consolidated P&amp;L'!AZ23)*12/12+Assumptions!H53)*Assumptions!B8)-AZ5)),0)</f>
        <v/>
      </c>
      <c r="BA9" s="156">
        <f>IF(AND(Assumptions!B53&lt;&gt;"",IFERROR(DATEVALUE(TEXT(Assumptions!B53,"MM/DD/YYYY")),0)&gt;=DATE(2030,12,1),IFERROR(DATEVALUE(TEXT(Assumptions!B53,"MM/DD/YYYY")),0)&lt;=DATE(2030,12,31)),MIN(Assumptions!G53,MAX(0,((('Consolidated P&amp;L'!AP23+'Consolidated P&amp;L'!AQ23+'Consolidated P&amp;L'!AR23+'Consolidated P&amp;L'!AS23+'Consolidated P&amp;L'!AT23+'Consolidated P&amp;L'!AU23+'Consolidated P&amp;L'!AV23+'Consolidated P&amp;L'!AW23+'Consolidated P&amp;L'!AX23+'Consolidated P&amp;L'!AY23+'Consolidated P&amp;L'!AZ23+'Consolidated P&amp;L'!BA23)*12/12+Assumptions!H53)*Assumptions!B8)-BA5)),0)</f>
        <v/>
      </c>
      <c r="BB9" s="156">
        <f>IF(AND(Assumptions!B53&lt;&gt;"",IFERROR(DATEVALUE(TEXT(Assumptions!B53,"MM/DD/YYYY")),0)&gt;=DATE(2031,1,1),IFERROR(DATEVALUE(TEXT(Assumptions!B53,"MM/DD/YYYY")),0)&lt;=DATE(2031,1,31)),MIN(Assumptions!G53,MAX(0,((('Consolidated P&amp;L'!AQ23+'Consolidated P&amp;L'!AR23+'Consolidated P&amp;L'!AS23+'Consolidated P&amp;L'!AT23+'Consolidated P&amp;L'!AU23+'Consolidated P&amp;L'!AV23+'Consolidated P&amp;L'!AW23+'Consolidated P&amp;L'!AX23+'Consolidated P&amp;L'!AY23+'Consolidated P&amp;L'!AZ23+'Consolidated P&amp;L'!BA23+'Consolidated P&amp;L'!BB23)*12/12+Assumptions!H53)*Assumptions!B8)-BB5)),0)</f>
        <v/>
      </c>
      <c r="BC9" s="156">
        <f>IF(AND(Assumptions!B53&lt;&gt;"",IFERROR(DATEVALUE(TEXT(Assumptions!B53,"MM/DD/YYYY")),0)&gt;=DATE(2031,2,1),IFERROR(DATEVALUE(TEXT(Assumptions!B53,"MM/DD/YYYY")),0)&lt;=DATE(2031,2,28)),MIN(Assumptions!G53,MAX(0,((('Consolidated P&amp;L'!AR23+'Consolidated P&amp;L'!AS23+'Consolidated P&amp;L'!AT23+'Consolidated P&amp;L'!AU23+'Consolidated P&amp;L'!AV23+'Consolidated P&amp;L'!AW23+'Consolidated P&amp;L'!AX23+'Consolidated P&amp;L'!AY23+'Consolidated P&amp;L'!AZ23+'Consolidated P&amp;L'!BA23+'Consolidated P&amp;L'!BB23+'Consolidated P&amp;L'!BC23)*12/12+Assumptions!H53)*Assumptions!B8)-BC5)),0)</f>
        <v/>
      </c>
      <c r="BD9" s="156">
        <f>IF(AND(Assumptions!B53&lt;&gt;"",IFERROR(DATEVALUE(TEXT(Assumptions!B53,"MM/DD/YYYY")),0)&gt;=DATE(2031,3,1),IFERROR(DATEVALUE(TEXT(Assumptions!B53,"MM/DD/YYYY")),0)&lt;=DATE(2031,3,31)),MIN(Assumptions!G53,MAX(0,((('Consolidated P&amp;L'!AS23+'Consolidated P&amp;L'!AT23+'Consolidated P&amp;L'!AU23+'Consolidated P&amp;L'!AV23+'Consolidated P&amp;L'!AW23+'Consolidated P&amp;L'!AX23+'Consolidated P&amp;L'!AY23+'Consolidated P&amp;L'!AZ23+'Consolidated P&amp;L'!BA23+'Consolidated P&amp;L'!BB23+'Consolidated P&amp;L'!BC23+'Consolidated P&amp;L'!BD23)*12/12+Assumptions!H53)*Assumptions!B8)-BD5)),0)</f>
        <v/>
      </c>
      <c r="BE9" s="156">
        <f>IF(AND(Assumptions!B53&lt;&gt;"",IFERROR(DATEVALUE(TEXT(Assumptions!B53,"MM/DD/YYYY")),0)&gt;=DATE(2031,4,1),IFERROR(DATEVALUE(TEXT(Assumptions!B53,"MM/DD/YYYY")),0)&lt;=DATE(2031,4,30)),MIN(Assumptions!G53,MAX(0,((('Consolidated P&amp;L'!AT23+'Consolidated P&amp;L'!AU23+'Consolidated P&amp;L'!AV23+'Consolidated P&amp;L'!AW23+'Consolidated P&amp;L'!AX23+'Consolidated P&amp;L'!AY23+'Consolidated P&amp;L'!AZ23+'Consolidated P&amp;L'!BA23+'Consolidated P&amp;L'!BB23+'Consolidated P&amp;L'!BC23+'Consolidated P&amp;L'!BD23+'Consolidated P&amp;L'!BE23)*12/12+Assumptions!H53)*Assumptions!B8)-BE5)),0)</f>
        <v/>
      </c>
      <c r="BF9" s="156">
        <f>IF(AND(Assumptions!B53&lt;&gt;"",IFERROR(DATEVALUE(TEXT(Assumptions!B53,"MM/DD/YYYY")),0)&gt;=DATE(2031,5,1),IFERROR(DATEVALUE(TEXT(Assumptions!B53,"MM/DD/YYYY")),0)&lt;=DATE(2031,5,31)),MIN(Assumptions!G53,MAX(0,((('Consolidated P&amp;L'!AU23+'Consolidated P&amp;L'!AV23+'Consolidated P&amp;L'!AW23+'Consolidated P&amp;L'!AX23+'Consolidated P&amp;L'!AY23+'Consolidated P&amp;L'!AZ23+'Consolidated P&amp;L'!BA23+'Consolidated P&amp;L'!BB23+'Consolidated P&amp;L'!BC23+'Consolidated P&amp;L'!BD23+'Consolidated P&amp;L'!BE23+'Consolidated P&amp;L'!BF23)*12/12+Assumptions!H53)*Assumptions!B8)-BF5)),0)</f>
        <v/>
      </c>
      <c r="BG9" s="156">
        <f>IF(AND(Assumptions!B53&lt;&gt;"",IFERROR(DATEVALUE(TEXT(Assumptions!B53,"MM/DD/YYYY")),0)&gt;=DATE(2031,6,1),IFERROR(DATEVALUE(TEXT(Assumptions!B53,"MM/DD/YYYY")),0)&lt;=DATE(2031,6,30)),MIN(Assumptions!G53,MAX(0,((('Consolidated P&amp;L'!AV23+'Consolidated P&amp;L'!AW23+'Consolidated P&amp;L'!AX23+'Consolidated P&amp;L'!AY23+'Consolidated P&amp;L'!AZ23+'Consolidated P&amp;L'!BA23+'Consolidated P&amp;L'!BB23+'Consolidated P&amp;L'!BC23+'Consolidated P&amp;L'!BD23+'Consolidated P&amp;L'!BE23+'Consolidated P&amp;L'!BF23+'Consolidated P&amp;L'!BG23)*12/12+Assumptions!H53)*Assumptions!B8)-BG5)),0)</f>
        <v/>
      </c>
      <c r="BH9" s="156">
        <f>IF(AND(Assumptions!B53&lt;&gt;"",IFERROR(DATEVALUE(TEXT(Assumptions!B53,"MM/DD/YYYY")),0)&gt;=DATE(2031,7,1),IFERROR(DATEVALUE(TEXT(Assumptions!B53,"MM/DD/YYYY")),0)&lt;=DATE(2031,7,31)),MIN(Assumptions!G53,MAX(0,((('Consolidated P&amp;L'!AW23+'Consolidated P&amp;L'!AX23+'Consolidated P&amp;L'!AY23+'Consolidated P&amp;L'!AZ23+'Consolidated P&amp;L'!BA23+'Consolidated P&amp;L'!BB23+'Consolidated P&amp;L'!BC23+'Consolidated P&amp;L'!BD23+'Consolidated P&amp;L'!BE23+'Consolidated P&amp;L'!BF23+'Consolidated P&amp;L'!BG23+'Consolidated P&amp;L'!BH23)*12/12+Assumptions!H53)*Assumptions!B8)-BH5)),0)</f>
        <v/>
      </c>
      <c r="BI9" s="156">
        <f>IF(AND(Assumptions!B53&lt;&gt;"",IFERROR(DATEVALUE(TEXT(Assumptions!B53,"MM/DD/YYYY")),0)&gt;=DATE(2031,8,1),IFERROR(DATEVALUE(TEXT(Assumptions!B53,"MM/DD/YYYY")),0)&lt;=DATE(2031,8,31)),MIN(Assumptions!G53,MAX(0,((('Consolidated P&amp;L'!AX23+'Consolidated P&amp;L'!AY23+'Consolidated P&amp;L'!AZ23+'Consolidated P&amp;L'!BA23+'Consolidated P&amp;L'!BB23+'Consolidated P&amp;L'!BC23+'Consolidated P&amp;L'!BD23+'Consolidated P&amp;L'!BE23+'Consolidated P&amp;L'!BF23+'Consolidated P&amp;L'!BG23+'Consolidated P&amp;L'!BH23+'Consolidated P&amp;L'!BI23)*12/12+Assumptions!H53)*Assumptions!B8)-BI5)),0)</f>
        <v/>
      </c>
      <c r="BJ9" s="156">
        <f>IF(AND(Assumptions!B53&lt;&gt;"",IFERROR(DATEVALUE(TEXT(Assumptions!B53,"MM/DD/YYYY")),0)&gt;=DATE(2031,9,1),IFERROR(DATEVALUE(TEXT(Assumptions!B53,"MM/DD/YYYY")),0)&lt;=DATE(2031,9,30)),MIN(Assumptions!G53,MAX(0,((('Consolidated P&amp;L'!AY23+'Consolidated P&amp;L'!AZ23+'Consolidated P&amp;L'!BA23+'Consolidated P&amp;L'!BB23+'Consolidated P&amp;L'!BC23+'Consolidated P&amp;L'!BD23+'Consolidated P&amp;L'!BE23+'Consolidated P&amp;L'!BF23+'Consolidated P&amp;L'!BG23+'Consolidated P&amp;L'!BH23+'Consolidated P&amp;L'!BI23+'Consolidated P&amp;L'!BJ23)*12/12+Assumptions!H53)*Assumptions!B8)-BJ5)),0)</f>
        <v/>
      </c>
      <c r="BL9" s="157">
        <f>C9+D9+E9+F9+G9+H9+I9+J9+K9+L9+M9+N9</f>
        <v/>
      </c>
      <c r="BM9" s="157">
        <f>O9+P9+Q9+R9+S9+T9+U9+V9+W9+X9+Y9+Z9</f>
        <v/>
      </c>
      <c r="BN9" s="157">
        <f>AA9+AB9+AC9+AD9+AE9+AF9+AG9+AH9+AI9+AJ9+AK9+AL9</f>
        <v/>
      </c>
      <c r="BO9" s="157">
        <f>AM9+AN9+AO9+AP9+AQ9+AR9+AS9+AT9+AU9+AV9+AW9+AX9</f>
        <v/>
      </c>
      <c r="BP9" s="157">
        <f>AY9+AZ9+BA9+BB9+BC9+BD9+BE9+BF9+BG9+BH9+BI9+BJ9</f>
        <v/>
      </c>
    </row>
    <row r="10" ht="15" customHeight="1" s="104">
      <c r="A10" s="107" t="inlineStr">
        <is>
          <t xml:space="preserve">    Add-On 4 Debt Draw</t>
        </is>
      </c>
      <c r="C10" s="156">
        <f>IF(AND(Assumptions!B54&lt;&gt;"",IFERROR(DATEVALUE(TEXT(Assumptions!B54,"MM/DD/YYYY")),0)&gt;=DATE(2026,10,1),IFERROR(DATEVALUE(TEXT(Assumptions!B54,"MM/DD/YYYY")),0)&lt;=DATE(2026,10,31)),MIN(Assumptions!G54,MAX(0,((('Consolidated P&amp;L'!C23)*12/1+Assumptions!H54)*Assumptions!B8)-C5)),0)</f>
        <v/>
      </c>
      <c r="D10" s="156">
        <f>IF(AND(Assumptions!B54&lt;&gt;"",IFERROR(DATEVALUE(TEXT(Assumptions!B54,"MM/DD/YYYY")),0)&gt;=DATE(2026,11,1),IFERROR(DATEVALUE(TEXT(Assumptions!B54,"MM/DD/YYYY")),0)&lt;=DATE(2026,11,30)),MIN(Assumptions!G54,MAX(0,((('Consolidated P&amp;L'!C23+'Consolidated P&amp;L'!D23)*12/2+Assumptions!H54)*Assumptions!B8)-D5)),0)</f>
        <v/>
      </c>
      <c r="E10" s="156">
        <f>IF(AND(Assumptions!B54&lt;&gt;"",IFERROR(DATEVALUE(TEXT(Assumptions!B54,"MM/DD/YYYY")),0)&gt;=DATE(2026,12,1),IFERROR(DATEVALUE(TEXT(Assumptions!B54,"MM/DD/YYYY")),0)&lt;=DATE(2026,12,31)),MIN(Assumptions!G54,MAX(0,((('Consolidated P&amp;L'!C23+'Consolidated P&amp;L'!D23+'Consolidated P&amp;L'!E23)*12/3+Assumptions!H54)*Assumptions!B8)-E5)),0)</f>
        <v/>
      </c>
      <c r="F10" s="156">
        <f>IF(AND(Assumptions!B54&lt;&gt;"",IFERROR(DATEVALUE(TEXT(Assumptions!B54,"MM/DD/YYYY")),0)&gt;=DATE(2027,1,1),IFERROR(DATEVALUE(TEXT(Assumptions!B54,"MM/DD/YYYY")),0)&lt;=DATE(2027,1,31)),MIN(Assumptions!G54,MAX(0,((('Consolidated P&amp;L'!C23+'Consolidated P&amp;L'!D23+'Consolidated P&amp;L'!E23+'Consolidated P&amp;L'!F23)*12/4+Assumptions!H54)*Assumptions!B8)-F5)),0)</f>
        <v/>
      </c>
      <c r="G10" s="156">
        <f>IF(AND(Assumptions!B54&lt;&gt;"",IFERROR(DATEVALUE(TEXT(Assumptions!B54,"MM/DD/YYYY")),0)&gt;=DATE(2027,2,1),IFERROR(DATEVALUE(TEXT(Assumptions!B54,"MM/DD/YYYY")),0)&lt;=DATE(2027,2,28)),MIN(Assumptions!G54,MAX(0,((('Consolidated P&amp;L'!C23+'Consolidated P&amp;L'!D23+'Consolidated P&amp;L'!E23+'Consolidated P&amp;L'!F23+'Consolidated P&amp;L'!G23)*12/5+Assumptions!H54)*Assumptions!B8)-G5)),0)</f>
        <v/>
      </c>
      <c r="H10" s="156">
        <f>IF(AND(Assumptions!B54&lt;&gt;"",IFERROR(DATEVALUE(TEXT(Assumptions!B54,"MM/DD/YYYY")),0)&gt;=DATE(2027,3,1),IFERROR(DATEVALUE(TEXT(Assumptions!B54,"MM/DD/YYYY")),0)&lt;=DATE(2027,3,31)),MIN(Assumptions!G54,MAX(0,((('Consolidated P&amp;L'!C23+'Consolidated P&amp;L'!D23+'Consolidated P&amp;L'!E23+'Consolidated P&amp;L'!F23+'Consolidated P&amp;L'!G23+'Consolidated P&amp;L'!H23)*12/6+Assumptions!H54)*Assumptions!B8)-H5)),0)</f>
        <v/>
      </c>
      <c r="I10" s="156">
        <f>IF(AND(Assumptions!B54&lt;&gt;"",IFERROR(DATEVALUE(TEXT(Assumptions!B54,"MM/DD/YYYY")),0)&gt;=DATE(2027,4,1),IFERROR(DATEVALUE(TEXT(Assumptions!B54,"MM/DD/YYYY")),0)&lt;=DATE(2027,4,30)),MIN(Assumptions!G54,MAX(0,((('Consolidated P&amp;L'!C23+'Consolidated P&amp;L'!D23+'Consolidated P&amp;L'!E23+'Consolidated P&amp;L'!F23+'Consolidated P&amp;L'!G23+'Consolidated P&amp;L'!H23+'Consolidated P&amp;L'!I23)*12/7+Assumptions!H54)*Assumptions!B8)-I5)),0)</f>
        <v/>
      </c>
      <c r="J10" s="156">
        <f>IF(AND(Assumptions!B54&lt;&gt;"",IFERROR(DATEVALUE(TEXT(Assumptions!B54,"MM/DD/YYYY")),0)&gt;=DATE(2027,5,1),IFERROR(DATEVALUE(TEXT(Assumptions!B54,"MM/DD/YYYY")),0)&lt;=DATE(2027,5,31)),MIN(Assumptions!G54,MAX(0,((('Consolidated P&amp;L'!C23+'Consolidated P&amp;L'!D23+'Consolidated P&amp;L'!E23+'Consolidated P&amp;L'!F23+'Consolidated P&amp;L'!G23+'Consolidated P&amp;L'!H23+'Consolidated P&amp;L'!I23+'Consolidated P&amp;L'!J23)*12/8+Assumptions!H54)*Assumptions!B8)-J5)),0)</f>
        <v/>
      </c>
      <c r="K10" s="156">
        <f>IF(AND(Assumptions!B54&lt;&gt;"",IFERROR(DATEVALUE(TEXT(Assumptions!B54,"MM/DD/YYYY")),0)&gt;=DATE(2027,6,1),IFERROR(DATEVALUE(TEXT(Assumptions!B54,"MM/DD/YYYY")),0)&lt;=DATE(2027,6,30)),MIN(Assumptions!G54,MAX(0,((('Consolidated P&amp;L'!C23+'Consolidated P&amp;L'!D23+'Consolidated P&amp;L'!E23+'Consolidated P&amp;L'!F23+'Consolidated P&amp;L'!G23+'Consolidated P&amp;L'!H23+'Consolidated P&amp;L'!I23+'Consolidated P&amp;L'!J23+'Consolidated P&amp;L'!K23)*12/9+Assumptions!H54)*Assumptions!B8)-K5)),0)</f>
        <v/>
      </c>
      <c r="L10" s="156">
        <f>IF(AND(Assumptions!B54&lt;&gt;"",IFERROR(DATEVALUE(TEXT(Assumptions!B54,"MM/DD/YYYY")),0)&gt;=DATE(2027,7,1),IFERROR(DATEVALUE(TEXT(Assumptions!B54,"MM/DD/YYYY")),0)&lt;=DATE(2027,7,31)),MIN(Assumptions!G54,MAX(0,((('Consolidated P&amp;L'!C23+'Consolidated P&amp;L'!D23+'Consolidated P&amp;L'!E23+'Consolidated P&amp;L'!F23+'Consolidated P&amp;L'!G23+'Consolidated P&amp;L'!H23+'Consolidated P&amp;L'!I23+'Consolidated P&amp;L'!J23+'Consolidated P&amp;L'!K23+'Consolidated P&amp;L'!L23)*12/10+Assumptions!H54)*Assumptions!B8)-L5)),0)</f>
        <v/>
      </c>
      <c r="M10" s="156">
        <f>IF(AND(Assumptions!B54&lt;&gt;"",IFERROR(DATEVALUE(TEXT(Assumptions!B54,"MM/DD/YYYY")),0)&gt;=DATE(2027,8,1),IFERROR(DATEVALUE(TEXT(Assumptions!B54,"MM/DD/YYYY")),0)&lt;=DATE(2027,8,31)),MIN(Assumptions!G54,MAX(0,((('Consolidated P&amp;L'!C23+'Consolidated P&amp;L'!D23+'Consolidated P&amp;L'!E23+'Consolidated P&amp;L'!F23+'Consolidated P&amp;L'!G23+'Consolidated P&amp;L'!H23+'Consolidated P&amp;L'!I23+'Consolidated P&amp;L'!J23+'Consolidated P&amp;L'!K23+'Consolidated P&amp;L'!L23+'Consolidated P&amp;L'!M23)*12/11+Assumptions!H54)*Assumptions!B8)-M5)),0)</f>
        <v/>
      </c>
      <c r="N10" s="156">
        <f>IF(AND(Assumptions!B54&lt;&gt;"",IFERROR(DATEVALUE(TEXT(Assumptions!B54,"MM/DD/YYYY")),0)&gt;=DATE(2027,9,1),IFERROR(DATEVALUE(TEXT(Assumptions!B54,"MM/DD/YYYY")),0)&lt;=DATE(2027,9,30)),MIN(Assumptions!G54,MAX(0,((('Consolidated P&amp;L'!C23+'Consolidated P&amp;L'!D23+'Consolidated P&amp;L'!E23+'Consolidated P&amp;L'!F23+'Consolidated P&amp;L'!G23+'Consolidated P&amp;L'!H23+'Consolidated P&amp;L'!I23+'Consolidated P&amp;L'!J23+'Consolidated P&amp;L'!K23+'Consolidated P&amp;L'!L23+'Consolidated P&amp;L'!M23+'Consolidated P&amp;L'!N23)*12/12+Assumptions!H54)*Assumptions!B8)-N5)),0)</f>
        <v/>
      </c>
      <c r="O10" s="156">
        <f>IF(AND(Assumptions!B54&lt;&gt;"",IFERROR(DATEVALUE(TEXT(Assumptions!B54,"MM/DD/YYYY")),0)&gt;=DATE(2027,10,1),IFERROR(DATEVALUE(TEXT(Assumptions!B54,"MM/DD/YYYY")),0)&lt;=DATE(2027,10,31)),MIN(Assumptions!G54,MAX(0,((('Consolidated P&amp;L'!D23+'Consolidated P&amp;L'!E23+'Consolidated P&amp;L'!F23+'Consolidated P&amp;L'!G23+'Consolidated P&amp;L'!H23+'Consolidated P&amp;L'!I23+'Consolidated P&amp;L'!J23+'Consolidated P&amp;L'!K23+'Consolidated P&amp;L'!L23+'Consolidated P&amp;L'!M23+'Consolidated P&amp;L'!N23+'Consolidated P&amp;L'!O23)*12/12+Assumptions!H54)*Assumptions!B8)-O5)),0)</f>
        <v/>
      </c>
      <c r="P10" s="156">
        <f>IF(AND(Assumptions!B54&lt;&gt;"",IFERROR(DATEVALUE(TEXT(Assumptions!B54,"MM/DD/YYYY")),0)&gt;=DATE(2027,11,1),IFERROR(DATEVALUE(TEXT(Assumptions!B54,"MM/DD/YYYY")),0)&lt;=DATE(2027,11,30)),MIN(Assumptions!G54,MAX(0,((('Consolidated P&amp;L'!E23+'Consolidated P&amp;L'!F23+'Consolidated P&amp;L'!G23+'Consolidated P&amp;L'!H23+'Consolidated P&amp;L'!I23+'Consolidated P&amp;L'!J23+'Consolidated P&amp;L'!K23+'Consolidated P&amp;L'!L23+'Consolidated P&amp;L'!M23+'Consolidated P&amp;L'!N23+'Consolidated P&amp;L'!O23+'Consolidated P&amp;L'!P23)*12/12+Assumptions!H54)*Assumptions!B8)-P5)),0)</f>
        <v/>
      </c>
      <c r="Q10" s="156">
        <f>IF(AND(Assumptions!B54&lt;&gt;"",IFERROR(DATEVALUE(TEXT(Assumptions!B54,"MM/DD/YYYY")),0)&gt;=DATE(2027,12,1),IFERROR(DATEVALUE(TEXT(Assumptions!B54,"MM/DD/YYYY")),0)&lt;=DATE(2027,12,31)),MIN(Assumptions!G54,MAX(0,((('Consolidated P&amp;L'!F23+'Consolidated P&amp;L'!G23+'Consolidated P&amp;L'!H23+'Consolidated P&amp;L'!I23+'Consolidated P&amp;L'!J23+'Consolidated P&amp;L'!K23+'Consolidated P&amp;L'!L23+'Consolidated P&amp;L'!M23+'Consolidated P&amp;L'!N23+'Consolidated P&amp;L'!O23+'Consolidated P&amp;L'!P23+'Consolidated P&amp;L'!Q23)*12/12+Assumptions!H54)*Assumptions!B8)-Q5)),0)</f>
        <v/>
      </c>
      <c r="R10" s="156">
        <f>IF(AND(Assumptions!B54&lt;&gt;"",IFERROR(DATEVALUE(TEXT(Assumptions!B54,"MM/DD/YYYY")),0)&gt;=DATE(2028,1,1),IFERROR(DATEVALUE(TEXT(Assumptions!B54,"MM/DD/YYYY")),0)&lt;=DATE(2028,1,31)),MIN(Assumptions!G54,MAX(0,((('Consolidated P&amp;L'!G23+'Consolidated P&amp;L'!H23+'Consolidated P&amp;L'!I23+'Consolidated P&amp;L'!J23+'Consolidated P&amp;L'!K23+'Consolidated P&amp;L'!L23+'Consolidated P&amp;L'!M23+'Consolidated P&amp;L'!N23+'Consolidated P&amp;L'!O23+'Consolidated P&amp;L'!P23+'Consolidated P&amp;L'!Q23+'Consolidated P&amp;L'!R23)*12/12+Assumptions!H54)*Assumptions!B8)-R5)),0)</f>
        <v/>
      </c>
      <c r="S10" s="156">
        <f>IF(AND(Assumptions!B54&lt;&gt;"",IFERROR(DATEVALUE(TEXT(Assumptions!B54,"MM/DD/YYYY")),0)&gt;=DATE(2028,2,1),IFERROR(DATEVALUE(TEXT(Assumptions!B54,"MM/DD/YYYY")),0)&lt;=DATE(2028,2,29)),MIN(Assumptions!G54,MAX(0,((('Consolidated P&amp;L'!H23+'Consolidated P&amp;L'!I23+'Consolidated P&amp;L'!J23+'Consolidated P&amp;L'!K23+'Consolidated P&amp;L'!L23+'Consolidated P&amp;L'!M23+'Consolidated P&amp;L'!N23+'Consolidated P&amp;L'!O23+'Consolidated P&amp;L'!P23+'Consolidated P&amp;L'!Q23+'Consolidated P&amp;L'!R23+'Consolidated P&amp;L'!S23)*12/12+Assumptions!H54)*Assumptions!B8)-S5)),0)</f>
        <v/>
      </c>
      <c r="T10" s="156">
        <f>IF(AND(Assumptions!B54&lt;&gt;"",IFERROR(DATEVALUE(TEXT(Assumptions!B54,"MM/DD/YYYY")),0)&gt;=DATE(2028,3,1),IFERROR(DATEVALUE(TEXT(Assumptions!B54,"MM/DD/YYYY")),0)&lt;=DATE(2028,3,31)),MIN(Assumptions!G54,MAX(0,((('Consolidated P&amp;L'!I23+'Consolidated P&amp;L'!J23+'Consolidated P&amp;L'!K23+'Consolidated P&amp;L'!L23+'Consolidated P&amp;L'!M23+'Consolidated P&amp;L'!N23+'Consolidated P&amp;L'!O23+'Consolidated P&amp;L'!P23+'Consolidated P&amp;L'!Q23+'Consolidated P&amp;L'!R23+'Consolidated P&amp;L'!S23+'Consolidated P&amp;L'!T23)*12/12+Assumptions!H54)*Assumptions!B8)-T5)),0)</f>
        <v/>
      </c>
      <c r="U10" s="156">
        <f>IF(AND(Assumptions!B54&lt;&gt;"",IFERROR(DATEVALUE(TEXT(Assumptions!B54,"MM/DD/YYYY")),0)&gt;=DATE(2028,4,1),IFERROR(DATEVALUE(TEXT(Assumptions!B54,"MM/DD/YYYY")),0)&lt;=DATE(2028,4,30)),MIN(Assumptions!G54,MAX(0,((('Consolidated P&amp;L'!J23+'Consolidated P&amp;L'!K23+'Consolidated P&amp;L'!L23+'Consolidated P&amp;L'!M23+'Consolidated P&amp;L'!N23+'Consolidated P&amp;L'!O23+'Consolidated P&amp;L'!P23+'Consolidated P&amp;L'!Q23+'Consolidated P&amp;L'!R23+'Consolidated P&amp;L'!S23+'Consolidated P&amp;L'!T23+'Consolidated P&amp;L'!U23)*12/12+Assumptions!H54)*Assumptions!B8)-U5)),0)</f>
        <v/>
      </c>
      <c r="V10" s="156">
        <f>IF(AND(Assumptions!B54&lt;&gt;"",IFERROR(DATEVALUE(TEXT(Assumptions!B54,"MM/DD/YYYY")),0)&gt;=DATE(2028,5,1),IFERROR(DATEVALUE(TEXT(Assumptions!B54,"MM/DD/YYYY")),0)&lt;=DATE(2028,5,31)),MIN(Assumptions!G54,MAX(0,((('Consolidated P&amp;L'!K23+'Consolidated P&amp;L'!L23+'Consolidated P&amp;L'!M23+'Consolidated P&amp;L'!N23+'Consolidated P&amp;L'!O23+'Consolidated P&amp;L'!P23+'Consolidated P&amp;L'!Q23+'Consolidated P&amp;L'!R23+'Consolidated P&amp;L'!S23+'Consolidated P&amp;L'!T23+'Consolidated P&amp;L'!U23+'Consolidated P&amp;L'!V23)*12/12+Assumptions!H54)*Assumptions!B8)-V5)),0)</f>
        <v/>
      </c>
      <c r="W10" s="156">
        <f>IF(AND(Assumptions!B54&lt;&gt;"",IFERROR(DATEVALUE(TEXT(Assumptions!B54,"MM/DD/YYYY")),0)&gt;=DATE(2028,6,1),IFERROR(DATEVALUE(TEXT(Assumptions!B54,"MM/DD/YYYY")),0)&lt;=DATE(2028,6,30)),MIN(Assumptions!G54,MAX(0,((('Consolidated P&amp;L'!L23+'Consolidated P&amp;L'!M23+'Consolidated P&amp;L'!N23+'Consolidated P&amp;L'!O23+'Consolidated P&amp;L'!P23+'Consolidated P&amp;L'!Q23+'Consolidated P&amp;L'!R23+'Consolidated P&amp;L'!S23+'Consolidated P&amp;L'!T23+'Consolidated P&amp;L'!U23+'Consolidated P&amp;L'!V23+'Consolidated P&amp;L'!W23)*12/12+Assumptions!H54)*Assumptions!B8)-W5)),0)</f>
        <v/>
      </c>
      <c r="X10" s="156">
        <f>IF(AND(Assumptions!B54&lt;&gt;"",IFERROR(DATEVALUE(TEXT(Assumptions!B54,"MM/DD/YYYY")),0)&gt;=DATE(2028,7,1),IFERROR(DATEVALUE(TEXT(Assumptions!B54,"MM/DD/YYYY")),0)&lt;=DATE(2028,7,31)),MIN(Assumptions!G54,MAX(0,((('Consolidated P&amp;L'!M23+'Consolidated P&amp;L'!N23+'Consolidated P&amp;L'!O23+'Consolidated P&amp;L'!P23+'Consolidated P&amp;L'!Q23+'Consolidated P&amp;L'!R23+'Consolidated P&amp;L'!S23+'Consolidated P&amp;L'!T23+'Consolidated P&amp;L'!U23+'Consolidated P&amp;L'!V23+'Consolidated P&amp;L'!W23+'Consolidated P&amp;L'!X23)*12/12+Assumptions!H54)*Assumptions!B8)-X5)),0)</f>
        <v/>
      </c>
      <c r="Y10" s="156">
        <f>IF(AND(Assumptions!B54&lt;&gt;"",IFERROR(DATEVALUE(TEXT(Assumptions!B54,"MM/DD/YYYY")),0)&gt;=DATE(2028,8,1),IFERROR(DATEVALUE(TEXT(Assumptions!B54,"MM/DD/YYYY")),0)&lt;=DATE(2028,8,31)),MIN(Assumptions!G54,MAX(0,((('Consolidated P&amp;L'!N23+'Consolidated P&amp;L'!O23+'Consolidated P&amp;L'!P23+'Consolidated P&amp;L'!Q23+'Consolidated P&amp;L'!R23+'Consolidated P&amp;L'!S23+'Consolidated P&amp;L'!T23+'Consolidated P&amp;L'!U23+'Consolidated P&amp;L'!V23+'Consolidated P&amp;L'!W23+'Consolidated P&amp;L'!X23+'Consolidated P&amp;L'!Y23)*12/12+Assumptions!H54)*Assumptions!B8)-Y5)),0)</f>
        <v/>
      </c>
      <c r="Z10" s="156">
        <f>IF(AND(Assumptions!B54&lt;&gt;"",IFERROR(DATEVALUE(TEXT(Assumptions!B54,"MM/DD/YYYY")),0)&gt;=DATE(2028,9,1),IFERROR(DATEVALUE(TEXT(Assumptions!B54,"MM/DD/YYYY")),0)&lt;=DATE(2028,9,30)),MIN(Assumptions!G54,MAX(0,((('Consolidated P&amp;L'!O23+'Consolidated P&amp;L'!P23+'Consolidated P&amp;L'!Q23+'Consolidated P&amp;L'!R23+'Consolidated P&amp;L'!S23+'Consolidated P&amp;L'!T23+'Consolidated P&amp;L'!U23+'Consolidated P&amp;L'!V23+'Consolidated P&amp;L'!W23+'Consolidated P&amp;L'!X23+'Consolidated P&amp;L'!Y23+'Consolidated P&amp;L'!Z23)*12/12+Assumptions!H54)*Assumptions!B8)-Z5)),0)</f>
        <v/>
      </c>
      <c r="AA10" s="156">
        <f>IF(AND(Assumptions!B54&lt;&gt;"",IFERROR(DATEVALUE(TEXT(Assumptions!B54,"MM/DD/YYYY")),0)&gt;=DATE(2028,10,1),IFERROR(DATEVALUE(TEXT(Assumptions!B54,"MM/DD/YYYY")),0)&lt;=DATE(2028,10,31)),MIN(Assumptions!G54,MAX(0,((('Consolidated P&amp;L'!P23+'Consolidated P&amp;L'!Q23+'Consolidated P&amp;L'!R23+'Consolidated P&amp;L'!S23+'Consolidated P&amp;L'!T23+'Consolidated P&amp;L'!U23+'Consolidated P&amp;L'!V23+'Consolidated P&amp;L'!W23+'Consolidated P&amp;L'!X23+'Consolidated P&amp;L'!Y23+'Consolidated P&amp;L'!Z23+'Consolidated P&amp;L'!AA23)*12/12+Assumptions!H54)*Assumptions!B8)-AA5)),0)</f>
        <v/>
      </c>
      <c r="AB10" s="156">
        <f>IF(AND(Assumptions!B54&lt;&gt;"",IFERROR(DATEVALUE(TEXT(Assumptions!B54,"MM/DD/YYYY")),0)&gt;=DATE(2028,11,1),IFERROR(DATEVALUE(TEXT(Assumptions!B54,"MM/DD/YYYY")),0)&lt;=DATE(2028,11,30)),MIN(Assumptions!G54,MAX(0,((('Consolidated P&amp;L'!Q23+'Consolidated P&amp;L'!R23+'Consolidated P&amp;L'!S23+'Consolidated P&amp;L'!T23+'Consolidated P&amp;L'!U23+'Consolidated P&amp;L'!V23+'Consolidated P&amp;L'!W23+'Consolidated P&amp;L'!X23+'Consolidated P&amp;L'!Y23+'Consolidated P&amp;L'!Z23+'Consolidated P&amp;L'!AA23+'Consolidated P&amp;L'!AB23)*12/12+Assumptions!H54)*Assumptions!B8)-AB5)),0)</f>
        <v/>
      </c>
      <c r="AC10" s="156">
        <f>IF(AND(Assumptions!B54&lt;&gt;"",IFERROR(DATEVALUE(TEXT(Assumptions!B54,"MM/DD/YYYY")),0)&gt;=DATE(2028,12,1),IFERROR(DATEVALUE(TEXT(Assumptions!B54,"MM/DD/YYYY")),0)&lt;=DATE(2028,12,31)),MIN(Assumptions!G54,MAX(0,((('Consolidated P&amp;L'!R23+'Consolidated P&amp;L'!S23+'Consolidated P&amp;L'!T23+'Consolidated P&amp;L'!U23+'Consolidated P&amp;L'!V23+'Consolidated P&amp;L'!W23+'Consolidated P&amp;L'!X23+'Consolidated P&amp;L'!Y23+'Consolidated P&amp;L'!Z23+'Consolidated P&amp;L'!AA23+'Consolidated P&amp;L'!AB23+'Consolidated P&amp;L'!AC23)*12/12+Assumptions!H54)*Assumptions!B8)-AC5)),0)</f>
        <v/>
      </c>
      <c r="AD10" s="156">
        <f>IF(AND(Assumptions!B54&lt;&gt;"",IFERROR(DATEVALUE(TEXT(Assumptions!B54,"MM/DD/YYYY")),0)&gt;=DATE(2029,1,1),IFERROR(DATEVALUE(TEXT(Assumptions!B54,"MM/DD/YYYY")),0)&lt;=DATE(2029,1,31)),MIN(Assumptions!G54,MAX(0,((('Consolidated P&amp;L'!S23+'Consolidated P&amp;L'!T23+'Consolidated P&amp;L'!U23+'Consolidated P&amp;L'!V23+'Consolidated P&amp;L'!W23+'Consolidated P&amp;L'!X23+'Consolidated P&amp;L'!Y23+'Consolidated P&amp;L'!Z23+'Consolidated P&amp;L'!AA23+'Consolidated P&amp;L'!AB23+'Consolidated P&amp;L'!AC23+'Consolidated P&amp;L'!AD23)*12/12+Assumptions!H54)*Assumptions!B8)-AD5)),0)</f>
        <v/>
      </c>
      <c r="AE10" s="156">
        <f>IF(AND(Assumptions!B54&lt;&gt;"",IFERROR(DATEVALUE(TEXT(Assumptions!B54,"MM/DD/YYYY")),0)&gt;=DATE(2029,2,1),IFERROR(DATEVALUE(TEXT(Assumptions!B54,"MM/DD/YYYY")),0)&lt;=DATE(2029,2,28)),MIN(Assumptions!G54,MAX(0,((('Consolidated P&amp;L'!T23+'Consolidated P&amp;L'!U23+'Consolidated P&amp;L'!V23+'Consolidated P&amp;L'!W23+'Consolidated P&amp;L'!X23+'Consolidated P&amp;L'!Y23+'Consolidated P&amp;L'!Z23+'Consolidated P&amp;L'!AA23+'Consolidated P&amp;L'!AB23+'Consolidated P&amp;L'!AC23+'Consolidated P&amp;L'!AD23+'Consolidated P&amp;L'!AE23)*12/12+Assumptions!H54)*Assumptions!B8)-AE5)),0)</f>
        <v/>
      </c>
      <c r="AF10" s="156">
        <f>IF(AND(Assumptions!B54&lt;&gt;"",IFERROR(DATEVALUE(TEXT(Assumptions!B54,"MM/DD/YYYY")),0)&gt;=DATE(2029,3,1),IFERROR(DATEVALUE(TEXT(Assumptions!B54,"MM/DD/YYYY")),0)&lt;=DATE(2029,3,31)),MIN(Assumptions!G54,MAX(0,((('Consolidated P&amp;L'!U23+'Consolidated P&amp;L'!V23+'Consolidated P&amp;L'!W23+'Consolidated P&amp;L'!X23+'Consolidated P&amp;L'!Y23+'Consolidated P&amp;L'!Z23+'Consolidated P&amp;L'!AA23+'Consolidated P&amp;L'!AB23+'Consolidated P&amp;L'!AC23+'Consolidated P&amp;L'!AD23+'Consolidated P&amp;L'!AE23+'Consolidated P&amp;L'!AF23)*12/12+Assumptions!H54)*Assumptions!B8)-AF5)),0)</f>
        <v/>
      </c>
      <c r="AG10" s="156">
        <f>IF(AND(Assumptions!B54&lt;&gt;"",IFERROR(DATEVALUE(TEXT(Assumptions!B54,"MM/DD/YYYY")),0)&gt;=DATE(2029,4,1),IFERROR(DATEVALUE(TEXT(Assumptions!B54,"MM/DD/YYYY")),0)&lt;=DATE(2029,4,30)),MIN(Assumptions!G54,MAX(0,((('Consolidated P&amp;L'!V23+'Consolidated P&amp;L'!W23+'Consolidated P&amp;L'!X23+'Consolidated P&amp;L'!Y23+'Consolidated P&amp;L'!Z23+'Consolidated P&amp;L'!AA23+'Consolidated P&amp;L'!AB23+'Consolidated P&amp;L'!AC23+'Consolidated P&amp;L'!AD23+'Consolidated P&amp;L'!AE23+'Consolidated P&amp;L'!AF23+'Consolidated P&amp;L'!AG23)*12/12+Assumptions!H54)*Assumptions!B8)-AG5)),0)</f>
        <v/>
      </c>
      <c r="AH10" s="156">
        <f>IF(AND(Assumptions!B54&lt;&gt;"",IFERROR(DATEVALUE(TEXT(Assumptions!B54,"MM/DD/YYYY")),0)&gt;=DATE(2029,5,1),IFERROR(DATEVALUE(TEXT(Assumptions!B54,"MM/DD/YYYY")),0)&lt;=DATE(2029,5,31)),MIN(Assumptions!G54,MAX(0,((('Consolidated P&amp;L'!W23+'Consolidated P&amp;L'!X23+'Consolidated P&amp;L'!Y23+'Consolidated P&amp;L'!Z23+'Consolidated P&amp;L'!AA23+'Consolidated P&amp;L'!AB23+'Consolidated P&amp;L'!AC23+'Consolidated P&amp;L'!AD23+'Consolidated P&amp;L'!AE23+'Consolidated P&amp;L'!AF23+'Consolidated P&amp;L'!AG23+'Consolidated P&amp;L'!AH23)*12/12+Assumptions!H54)*Assumptions!B8)-AH5)),0)</f>
        <v/>
      </c>
      <c r="AI10" s="156">
        <f>IF(AND(Assumptions!B54&lt;&gt;"",IFERROR(DATEVALUE(TEXT(Assumptions!B54,"MM/DD/YYYY")),0)&gt;=DATE(2029,6,1),IFERROR(DATEVALUE(TEXT(Assumptions!B54,"MM/DD/YYYY")),0)&lt;=DATE(2029,6,30)),MIN(Assumptions!G54,MAX(0,((('Consolidated P&amp;L'!X23+'Consolidated P&amp;L'!Y23+'Consolidated P&amp;L'!Z23+'Consolidated P&amp;L'!AA23+'Consolidated P&amp;L'!AB23+'Consolidated P&amp;L'!AC23+'Consolidated P&amp;L'!AD23+'Consolidated P&amp;L'!AE23+'Consolidated P&amp;L'!AF23+'Consolidated P&amp;L'!AG23+'Consolidated P&amp;L'!AH23+'Consolidated P&amp;L'!AI23)*12/12+Assumptions!H54)*Assumptions!B8)-AI5)),0)</f>
        <v/>
      </c>
      <c r="AJ10" s="156">
        <f>IF(AND(Assumptions!B54&lt;&gt;"",IFERROR(DATEVALUE(TEXT(Assumptions!B54,"MM/DD/YYYY")),0)&gt;=DATE(2029,7,1),IFERROR(DATEVALUE(TEXT(Assumptions!B54,"MM/DD/YYYY")),0)&lt;=DATE(2029,7,31)),MIN(Assumptions!G54,MAX(0,((('Consolidated P&amp;L'!Y23+'Consolidated P&amp;L'!Z23+'Consolidated P&amp;L'!AA23+'Consolidated P&amp;L'!AB23+'Consolidated P&amp;L'!AC23+'Consolidated P&amp;L'!AD23+'Consolidated P&amp;L'!AE23+'Consolidated P&amp;L'!AF23+'Consolidated P&amp;L'!AG23+'Consolidated P&amp;L'!AH23+'Consolidated P&amp;L'!AI23+'Consolidated P&amp;L'!AJ23)*12/12+Assumptions!H54)*Assumptions!B8)-AJ5)),0)</f>
        <v/>
      </c>
      <c r="AK10" s="156">
        <f>IF(AND(Assumptions!B54&lt;&gt;"",IFERROR(DATEVALUE(TEXT(Assumptions!B54,"MM/DD/YYYY")),0)&gt;=DATE(2029,8,1),IFERROR(DATEVALUE(TEXT(Assumptions!B54,"MM/DD/YYYY")),0)&lt;=DATE(2029,8,31)),MIN(Assumptions!G54,MAX(0,((('Consolidated P&amp;L'!Z23+'Consolidated P&amp;L'!AA23+'Consolidated P&amp;L'!AB23+'Consolidated P&amp;L'!AC23+'Consolidated P&amp;L'!AD23+'Consolidated P&amp;L'!AE23+'Consolidated P&amp;L'!AF23+'Consolidated P&amp;L'!AG23+'Consolidated P&amp;L'!AH23+'Consolidated P&amp;L'!AI23+'Consolidated P&amp;L'!AJ23+'Consolidated P&amp;L'!AK23)*12/12+Assumptions!H54)*Assumptions!B8)-AK5)),0)</f>
        <v/>
      </c>
      <c r="AL10" s="156">
        <f>IF(AND(Assumptions!B54&lt;&gt;"",IFERROR(DATEVALUE(TEXT(Assumptions!B54,"MM/DD/YYYY")),0)&gt;=DATE(2029,9,1),IFERROR(DATEVALUE(TEXT(Assumptions!B54,"MM/DD/YYYY")),0)&lt;=DATE(2029,9,30)),MIN(Assumptions!G54,MAX(0,((('Consolidated P&amp;L'!AA23+'Consolidated P&amp;L'!AB23+'Consolidated P&amp;L'!AC23+'Consolidated P&amp;L'!AD23+'Consolidated P&amp;L'!AE23+'Consolidated P&amp;L'!AF23+'Consolidated P&amp;L'!AG23+'Consolidated P&amp;L'!AH23+'Consolidated P&amp;L'!AI23+'Consolidated P&amp;L'!AJ23+'Consolidated P&amp;L'!AK23+'Consolidated P&amp;L'!AL23)*12/12+Assumptions!H54)*Assumptions!B8)-AL5)),0)</f>
        <v/>
      </c>
      <c r="AM10" s="156">
        <f>IF(AND(Assumptions!B54&lt;&gt;"",IFERROR(DATEVALUE(TEXT(Assumptions!B54,"MM/DD/YYYY")),0)&gt;=DATE(2029,10,1),IFERROR(DATEVALUE(TEXT(Assumptions!B54,"MM/DD/YYYY")),0)&lt;=DATE(2029,10,31)),MIN(Assumptions!G54,MAX(0,((('Consolidated P&amp;L'!AB23+'Consolidated P&amp;L'!AC23+'Consolidated P&amp;L'!AD23+'Consolidated P&amp;L'!AE23+'Consolidated P&amp;L'!AF23+'Consolidated P&amp;L'!AG23+'Consolidated P&amp;L'!AH23+'Consolidated P&amp;L'!AI23+'Consolidated P&amp;L'!AJ23+'Consolidated P&amp;L'!AK23+'Consolidated P&amp;L'!AL23+'Consolidated P&amp;L'!AM23)*12/12+Assumptions!H54)*Assumptions!B8)-AM5)),0)</f>
        <v/>
      </c>
      <c r="AN10" s="156">
        <f>IF(AND(Assumptions!B54&lt;&gt;"",IFERROR(DATEVALUE(TEXT(Assumptions!B54,"MM/DD/YYYY")),0)&gt;=DATE(2029,11,1),IFERROR(DATEVALUE(TEXT(Assumptions!B54,"MM/DD/YYYY")),0)&lt;=DATE(2029,11,30)),MIN(Assumptions!G54,MAX(0,((('Consolidated P&amp;L'!AC23+'Consolidated P&amp;L'!AD23+'Consolidated P&amp;L'!AE23+'Consolidated P&amp;L'!AF23+'Consolidated P&amp;L'!AG23+'Consolidated P&amp;L'!AH23+'Consolidated P&amp;L'!AI23+'Consolidated P&amp;L'!AJ23+'Consolidated P&amp;L'!AK23+'Consolidated P&amp;L'!AL23+'Consolidated P&amp;L'!AM23+'Consolidated P&amp;L'!AN23)*12/12+Assumptions!H54)*Assumptions!B8)-AN5)),0)</f>
        <v/>
      </c>
      <c r="AO10" s="156">
        <f>IF(AND(Assumptions!B54&lt;&gt;"",IFERROR(DATEVALUE(TEXT(Assumptions!B54,"MM/DD/YYYY")),0)&gt;=DATE(2029,12,1),IFERROR(DATEVALUE(TEXT(Assumptions!B54,"MM/DD/YYYY")),0)&lt;=DATE(2029,12,31)),MIN(Assumptions!G54,MAX(0,((('Consolidated P&amp;L'!AD23+'Consolidated P&amp;L'!AE23+'Consolidated P&amp;L'!AF23+'Consolidated P&amp;L'!AG23+'Consolidated P&amp;L'!AH23+'Consolidated P&amp;L'!AI23+'Consolidated P&amp;L'!AJ23+'Consolidated P&amp;L'!AK23+'Consolidated P&amp;L'!AL23+'Consolidated P&amp;L'!AM23+'Consolidated P&amp;L'!AN23+'Consolidated P&amp;L'!AO23)*12/12+Assumptions!H54)*Assumptions!B8)-AO5)),0)</f>
        <v/>
      </c>
      <c r="AP10" s="156">
        <f>IF(AND(Assumptions!B54&lt;&gt;"",IFERROR(DATEVALUE(TEXT(Assumptions!B54,"MM/DD/YYYY")),0)&gt;=DATE(2030,1,1),IFERROR(DATEVALUE(TEXT(Assumptions!B54,"MM/DD/YYYY")),0)&lt;=DATE(2030,1,31)),MIN(Assumptions!G54,MAX(0,((('Consolidated P&amp;L'!AE23+'Consolidated P&amp;L'!AF23+'Consolidated P&amp;L'!AG23+'Consolidated P&amp;L'!AH23+'Consolidated P&amp;L'!AI23+'Consolidated P&amp;L'!AJ23+'Consolidated P&amp;L'!AK23+'Consolidated P&amp;L'!AL23+'Consolidated P&amp;L'!AM23+'Consolidated P&amp;L'!AN23+'Consolidated P&amp;L'!AO23+'Consolidated P&amp;L'!AP23)*12/12+Assumptions!H54)*Assumptions!B8)-AP5)),0)</f>
        <v/>
      </c>
      <c r="AQ10" s="156">
        <f>IF(AND(Assumptions!B54&lt;&gt;"",IFERROR(DATEVALUE(TEXT(Assumptions!B54,"MM/DD/YYYY")),0)&gt;=DATE(2030,2,1),IFERROR(DATEVALUE(TEXT(Assumptions!B54,"MM/DD/YYYY")),0)&lt;=DATE(2030,2,28)),MIN(Assumptions!G54,MAX(0,((('Consolidated P&amp;L'!AF23+'Consolidated P&amp;L'!AG23+'Consolidated P&amp;L'!AH23+'Consolidated P&amp;L'!AI23+'Consolidated P&amp;L'!AJ23+'Consolidated P&amp;L'!AK23+'Consolidated P&amp;L'!AL23+'Consolidated P&amp;L'!AM23+'Consolidated P&amp;L'!AN23+'Consolidated P&amp;L'!AO23+'Consolidated P&amp;L'!AP23+'Consolidated P&amp;L'!AQ23)*12/12+Assumptions!H54)*Assumptions!B8)-AQ5)),0)</f>
        <v/>
      </c>
      <c r="AR10" s="156">
        <f>IF(AND(Assumptions!B54&lt;&gt;"",IFERROR(DATEVALUE(TEXT(Assumptions!B54,"MM/DD/YYYY")),0)&gt;=DATE(2030,3,1),IFERROR(DATEVALUE(TEXT(Assumptions!B54,"MM/DD/YYYY")),0)&lt;=DATE(2030,3,31)),MIN(Assumptions!G54,MAX(0,((('Consolidated P&amp;L'!AG23+'Consolidated P&amp;L'!AH23+'Consolidated P&amp;L'!AI23+'Consolidated P&amp;L'!AJ23+'Consolidated P&amp;L'!AK23+'Consolidated P&amp;L'!AL23+'Consolidated P&amp;L'!AM23+'Consolidated P&amp;L'!AN23+'Consolidated P&amp;L'!AO23+'Consolidated P&amp;L'!AP23+'Consolidated P&amp;L'!AQ23+'Consolidated P&amp;L'!AR23)*12/12+Assumptions!H54)*Assumptions!B8)-AR5)),0)</f>
        <v/>
      </c>
      <c r="AS10" s="156">
        <f>IF(AND(Assumptions!B54&lt;&gt;"",IFERROR(DATEVALUE(TEXT(Assumptions!B54,"MM/DD/YYYY")),0)&gt;=DATE(2030,4,1),IFERROR(DATEVALUE(TEXT(Assumptions!B54,"MM/DD/YYYY")),0)&lt;=DATE(2030,4,30)),MIN(Assumptions!G54,MAX(0,((('Consolidated P&amp;L'!AH23+'Consolidated P&amp;L'!AI23+'Consolidated P&amp;L'!AJ23+'Consolidated P&amp;L'!AK23+'Consolidated P&amp;L'!AL23+'Consolidated P&amp;L'!AM23+'Consolidated P&amp;L'!AN23+'Consolidated P&amp;L'!AO23+'Consolidated P&amp;L'!AP23+'Consolidated P&amp;L'!AQ23+'Consolidated P&amp;L'!AR23+'Consolidated P&amp;L'!AS23)*12/12+Assumptions!H54)*Assumptions!B8)-AS5)),0)</f>
        <v/>
      </c>
      <c r="AT10" s="156">
        <f>IF(AND(Assumptions!B54&lt;&gt;"",IFERROR(DATEVALUE(TEXT(Assumptions!B54,"MM/DD/YYYY")),0)&gt;=DATE(2030,5,1),IFERROR(DATEVALUE(TEXT(Assumptions!B54,"MM/DD/YYYY")),0)&lt;=DATE(2030,5,31)),MIN(Assumptions!G54,MAX(0,((('Consolidated P&amp;L'!AI23+'Consolidated P&amp;L'!AJ23+'Consolidated P&amp;L'!AK23+'Consolidated P&amp;L'!AL23+'Consolidated P&amp;L'!AM23+'Consolidated P&amp;L'!AN23+'Consolidated P&amp;L'!AO23+'Consolidated P&amp;L'!AP23+'Consolidated P&amp;L'!AQ23+'Consolidated P&amp;L'!AR23+'Consolidated P&amp;L'!AS23+'Consolidated P&amp;L'!AT23)*12/12+Assumptions!H54)*Assumptions!B8)-AT5)),0)</f>
        <v/>
      </c>
      <c r="AU10" s="156">
        <f>IF(AND(Assumptions!B54&lt;&gt;"",IFERROR(DATEVALUE(TEXT(Assumptions!B54,"MM/DD/YYYY")),0)&gt;=DATE(2030,6,1),IFERROR(DATEVALUE(TEXT(Assumptions!B54,"MM/DD/YYYY")),0)&lt;=DATE(2030,6,30)),MIN(Assumptions!G54,MAX(0,((('Consolidated P&amp;L'!AJ23+'Consolidated P&amp;L'!AK23+'Consolidated P&amp;L'!AL23+'Consolidated P&amp;L'!AM23+'Consolidated P&amp;L'!AN23+'Consolidated P&amp;L'!AO23+'Consolidated P&amp;L'!AP23+'Consolidated P&amp;L'!AQ23+'Consolidated P&amp;L'!AR23+'Consolidated P&amp;L'!AS23+'Consolidated P&amp;L'!AT23+'Consolidated P&amp;L'!AU23)*12/12+Assumptions!H54)*Assumptions!B8)-AU5)),0)</f>
        <v/>
      </c>
      <c r="AV10" s="156">
        <f>IF(AND(Assumptions!B54&lt;&gt;"",IFERROR(DATEVALUE(TEXT(Assumptions!B54,"MM/DD/YYYY")),0)&gt;=DATE(2030,7,1),IFERROR(DATEVALUE(TEXT(Assumptions!B54,"MM/DD/YYYY")),0)&lt;=DATE(2030,7,31)),MIN(Assumptions!G54,MAX(0,((('Consolidated P&amp;L'!AK23+'Consolidated P&amp;L'!AL23+'Consolidated P&amp;L'!AM23+'Consolidated P&amp;L'!AN23+'Consolidated P&amp;L'!AO23+'Consolidated P&amp;L'!AP23+'Consolidated P&amp;L'!AQ23+'Consolidated P&amp;L'!AR23+'Consolidated P&amp;L'!AS23+'Consolidated P&amp;L'!AT23+'Consolidated P&amp;L'!AU23+'Consolidated P&amp;L'!AV23)*12/12+Assumptions!H54)*Assumptions!B8)-AV5)),0)</f>
        <v/>
      </c>
      <c r="AW10" s="156">
        <f>IF(AND(Assumptions!B54&lt;&gt;"",IFERROR(DATEVALUE(TEXT(Assumptions!B54,"MM/DD/YYYY")),0)&gt;=DATE(2030,8,1),IFERROR(DATEVALUE(TEXT(Assumptions!B54,"MM/DD/YYYY")),0)&lt;=DATE(2030,8,31)),MIN(Assumptions!G54,MAX(0,((('Consolidated P&amp;L'!AL23+'Consolidated P&amp;L'!AM23+'Consolidated P&amp;L'!AN23+'Consolidated P&amp;L'!AO23+'Consolidated P&amp;L'!AP23+'Consolidated P&amp;L'!AQ23+'Consolidated P&amp;L'!AR23+'Consolidated P&amp;L'!AS23+'Consolidated P&amp;L'!AT23+'Consolidated P&amp;L'!AU23+'Consolidated P&amp;L'!AV23+'Consolidated P&amp;L'!AW23)*12/12+Assumptions!H54)*Assumptions!B8)-AW5)),0)</f>
        <v/>
      </c>
      <c r="AX10" s="156">
        <f>IF(AND(Assumptions!B54&lt;&gt;"",IFERROR(DATEVALUE(TEXT(Assumptions!B54,"MM/DD/YYYY")),0)&gt;=DATE(2030,9,1),IFERROR(DATEVALUE(TEXT(Assumptions!B54,"MM/DD/YYYY")),0)&lt;=DATE(2030,9,30)),MIN(Assumptions!G54,MAX(0,((('Consolidated P&amp;L'!AM23+'Consolidated P&amp;L'!AN23+'Consolidated P&amp;L'!AO23+'Consolidated P&amp;L'!AP23+'Consolidated P&amp;L'!AQ23+'Consolidated P&amp;L'!AR23+'Consolidated P&amp;L'!AS23+'Consolidated P&amp;L'!AT23+'Consolidated P&amp;L'!AU23+'Consolidated P&amp;L'!AV23+'Consolidated P&amp;L'!AW23+'Consolidated P&amp;L'!AX23)*12/12+Assumptions!H54)*Assumptions!B8)-AX5)),0)</f>
        <v/>
      </c>
      <c r="AY10" s="156">
        <f>IF(AND(Assumptions!B54&lt;&gt;"",IFERROR(DATEVALUE(TEXT(Assumptions!B54,"MM/DD/YYYY")),0)&gt;=DATE(2030,10,1),IFERROR(DATEVALUE(TEXT(Assumptions!B54,"MM/DD/YYYY")),0)&lt;=DATE(2030,10,31)),MIN(Assumptions!G54,MAX(0,((('Consolidated P&amp;L'!AN23+'Consolidated P&amp;L'!AO23+'Consolidated P&amp;L'!AP23+'Consolidated P&amp;L'!AQ23+'Consolidated P&amp;L'!AR23+'Consolidated P&amp;L'!AS23+'Consolidated P&amp;L'!AT23+'Consolidated P&amp;L'!AU23+'Consolidated P&amp;L'!AV23+'Consolidated P&amp;L'!AW23+'Consolidated P&amp;L'!AX23+'Consolidated P&amp;L'!AY23)*12/12+Assumptions!H54)*Assumptions!B8)-AY5)),0)</f>
        <v/>
      </c>
      <c r="AZ10" s="156">
        <f>IF(AND(Assumptions!B54&lt;&gt;"",IFERROR(DATEVALUE(TEXT(Assumptions!B54,"MM/DD/YYYY")),0)&gt;=DATE(2030,11,1),IFERROR(DATEVALUE(TEXT(Assumptions!B54,"MM/DD/YYYY")),0)&lt;=DATE(2030,11,30)),MIN(Assumptions!G54,MAX(0,((('Consolidated P&amp;L'!AO23+'Consolidated P&amp;L'!AP23+'Consolidated P&amp;L'!AQ23+'Consolidated P&amp;L'!AR23+'Consolidated P&amp;L'!AS23+'Consolidated P&amp;L'!AT23+'Consolidated P&amp;L'!AU23+'Consolidated P&amp;L'!AV23+'Consolidated P&amp;L'!AW23+'Consolidated P&amp;L'!AX23+'Consolidated P&amp;L'!AY23+'Consolidated P&amp;L'!AZ23)*12/12+Assumptions!H54)*Assumptions!B8)-AZ5)),0)</f>
        <v/>
      </c>
      <c r="BA10" s="156">
        <f>IF(AND(Assumptions!B54&lt;&gt;"",IFERROR(DATEVALUE(TEXT(Assumptions!B54,"MM/DD/YYYY")),0)&gt;=DATE(2030,12,1),IFERROR(DATEVALUE(TEXT(Assumptions!B54,"MM/DD/YYYY")),0)&lt;=DATE(2030,12,31)),MIN(Assumptions!G54,MAX(0,((('Consolidated P&amp;L'!AP23+'Consolidated P&amp;L'!AQ23+'Consolidated P&amp;L'!AR23+'Consolidated P&amp;L'!AS23+'Consolidated P&amp;L'!AT23+'Consolidated P&amp;L'!AU23+'Consolidated P&amp;L'!AV23+'Consolidated P&amp;L'!AW23+'Consolidated P&amp;L'!AX23+'Consolidated P&amp;L'!AY23+'Consolidated P&amp;L'!AZ23+'Consolidated P&amp;L'!BA23)*12/12+Assumptions!H54)*Assumptions!B8)-BA5)),0)</f>
        <v/>
      </c>
      <c r="BB10" s="156">
        <f>IF(AND(Assumptions!B54&lt;&gt;"",IFERROR(DATEVALUE(TEXT(Assumptions!B54,"MM/DD/YYYY")),0)&gt;=DATE(2031,1,1),IFERROR(DATEVALUE(TEXT(Assumptions!B54,"MM/DD/YYYY")),0)&lt;=DATE(2031,1,31)),MIN(Assumptions!G54,MAX(0,((('Consolidated P&amp;L'!AQ23+'Consolidated P&amp;L'!AR23+'Consolidated P&amp;L'!AS23+'Consolidated P&amp;L'!AT23+'Consolidated P&amp;L'!AU23+'Consolidated P&amp;L'!AV23+'Consolidated P&amp;L'!AW23+'Consolidated P&amp;L'!AX23+'Consolidated P&amp;L'!AY23+'Consolidated P&amp;L'!AZ23+'Consolidated P&amp;L'!BA23+'Consolidated P&amp;L'!BB23)*12/12+Assumptions!H54)*Assumptions!B8)-BB5)),0)</f>
        <v/>
      </c>
      <c r="BC10" s="156">
        <f>IF(AND(Assumptions!B54&lt;&gt;"",IFERROR(DATEVALUE(TEXT(Assumptions!B54,"MM/DD/YYYY")),0)&gt;=DATE(2031,2,1),IFERROR(DATEVALUE(TEXT(Assumptions!B54,"MM/DD/YYYY")),0)&lt;=DATE(2031,2,28)),MIN(Assumptions!G54,MAX(0,((('Consolidated P&amp;L'!AR23+'Consolidated P&amp;L'!AS23+'Consolidated P&amp;L'!AT23+'Consolidated P&amp;L'!AU23+'Consolidated P&amp;L'!AV23+'Consolidated P&amp;L'!AW23+'Consolidated P&amp;L'!AX23+'Consolidated P&amp;L'!AY23+'Consolidated P&amp;L'!AZ23+'Consolidated P&amp;L'!BA23+'Consolidated P&amp;L'!BB23+'Consolidated P&amp;L'!BC23)*12/12+Assumptions!H54)*Assumptions!B8)-BC5)),0)</f>
        <v/>
      </c>
      <c r="BD10" s="156">
        <f>IF(AND(Assumptions!B54&lt;&gt;"",IFERROR(DATEVALUE(TEXT(Assumptions!B54,"MM/DD/YYYY")),0)&gt;=DATE(2031,3,1),IFERROR(DATEVALUE(TEXT(Assumptions!B54,"MM/DD/YYYY")),0)&lt;=DATE(2031,3,31)),MIN(Assumptions!G54,MAX(0,((('Consolidated P&amp;L'!AS23+'Consolidated P&amp;L'!AT23+'Consolidated P&amp;L'!AU23+'Consolidated P&amp;L'!AV23+'Consolidated P&amp;L'!AW23+'Consolidated P&amp;L'!AX23+'Consolidated P&amp;L'!AY23+'Consolidated P&amp;L'!AZ23+'Consolidated P&amp;L'!BA23+'Consolidated P&amp;L'!BB23+'Consolidated P&amp;L'!BC23+'Consolidated P&amp;L'!BD23)*12/12+Assumptions!H54)*Assumptions!B8)-BD5)),0)</f>
        <v/>
      </c>
      <c r="BE10" s="156">
        <f>IF(AND(Assumptions!B54&lt;&gt;"",IFERROR(DATEVALUE(TEXT(Assumptions!B54,"MM/DD/YYYY")),0)&gt;=DATE(2031,4,1),IFERROR(DATEVALUE(TEXT(Assumptions!B54,"MM/DD/YYYY")),0)&lt;=DATE(2031,4,30)),MIN(Assumptions!G54,MAX(0,((('Consolidated P&amp;L'!AT23+'Consolidated P&amp;L'!AU23+'Consolidated P&amp;L'!AV23+'Consolidated P&amp;L'!AW23+'Consolidated P&amp;L'!AX23+'Consolidated P&amp;L'!AY23+'Consolidated P&amp;L'!AZ23+'Consolidated P&amp;L'!BA23+'Consolidated P&amp;L'!BB23+'Consolidated P&amp;L'!BC23+'Consolidated P&amp;L'!BD23+'Consolidated P&amp;L'!BE23)*12/12+Assumptions!H54)*Assumptions!B8)-BE5)),0)</f>
        <v/>
      </c>
      <c r="BF10" s="156">
        <f>IF(AND(Assumptions!B54&lt;&gt;"",IFERROR(DATEVALUE(TEXT(Assumptions!B54,"MM/DD/YYYY")),0)&gt;=DATE(2031,5,1),IFERROR(DATEVALUE(TEXT(Assumptions!B54,"MM/DD/YYYY")),0)&lt;=DATE(2031,5,31)),MIN(Assumptions!G54,MAX(0,((('Consolidated P&amp;L'!AU23+'Consolidated P&amp;L'!AV23+'Consolidated P&amp;L'!AW23+'Consolidated P&amp;L'!AX23+'Consolidated P&amp;L'!AY23+'Consolidated P&amp;L'!AZ23+'Consolidated P&amp;L'!BA23+'Consolidated P&amp;L'!BB23+'Consolidated P&amp;L'!BC23+'Consolidated P&amp;L'!BD23+'Consolidated P&amp;L'!BE23+'Consolidated P&amp;L'!BF23)*12/12+Assumptions!H54)*Assumptions!B8)-BF5)),0)</f>
        <v/>
      </c>
      <c r="BG10" s="156">
        <f>IF(AND(Assumptions!B54&lt;&gt;"",IFERROR(DATEVALUE(TEXT(Assumptions!B54,"MM/DD/YYYY")),0)&gt;=DATE(2031,6,1),IFERROR(DATEVALUE(TEXT(Assumptions!B54,"MM/DD/YYYY")),0)&lt;=DATE(2031,6,30)),MIN(Assumptions!G54,MAX(0,((('Consolidated P&amp;L'!AV23+'Consolidated P&amp;L'!AW23+'Consolidated P&amp;L'!AX23+'Consolidated P&amp;L'!AY23+'Consolidated P&amp;L'!AZ23+'Consolidated P&amp;L'!BA23+'Consolidated P&amp;L'!BB23+'Consolidated P&amp;L'!BC23+'Consolidated P&amp;L'!BD23+'Consolidated P&amp;L'!BE23+'Consolidated P&amp;L'!BF23+'Consolidated P&amp;L'!BG23)*12/12+Assumptions!H54)*Assumptions!B8)-BG5)),0)</f>
        <v/>
      </c>
      <c r="BH10" s="156">
        <f>IF(AND(Assumptions!B54&lt;&gt;"",IFERROR(DATEVALUE(TEXT(Assumptions!B54,"MM/DD/YYYY")),0)&gt;=DATE(2031,7,1),IFERROR(DATEVALUE(TEXT(Assumptions!B54,"MM/DD/YYYY")),0)&lt;=DATE(2031,7,31)),MIN(Assumptions!G54,MAX(0,((('Consolidated P&amp;L'!AW23+'Consolidated P&amp;L'!AX23+'Consolidated P&amp;L'!AY23+'Consolidated P&amp;L'!AZ23+'Consolidated P&amp;L'!BA23+'Consolidated P&amp;L'!BB23+'Consolidated P&amp;L'!BC23+'Consolidated P&amp;L'!BD23+'Consolidated P&amp;L'!BE23+'Consolidated P&amp;L'!BF23+'Consolidated P&amp;L'!BG23+'Consolidated P&amp;L'!BH23)*12/12+Assumptions!H54)*Assumptions!B8)-BH5)),0)</f>
        <v/>
      </c>
      <c r="BI10" s="156">
        <f>IF(AND(Assumptions!B54&lt;&gt;"",IFERROR(DATEVALUE(TEXT(Assumptions!B54,"MM/DD/YYYY")),0)&gt;=DATE(2031,8,1),IFERROR(DATEVALUE(TEXT(Assumptions!B54,"MM/DD/YYYY")),0)&lt;=DATE(2031,8,31)),MIN(Assumptions!G54,MAX(0,((('Consolidated P&amp;L'!AX23+'Consolidated P&amp;L'!AY23+'Consolidated P&amp;L'!AZ23+'Consolidated P&amp;L'!BA23+'Consolidated P&amp;L'!BB23+'Consolidated P&amp;L'!BC23+'Consolidated P&amp;L'!BD23+'Consolidated P&amp;L'!BE23+'Consolidated P&amp;L'!BF23+'Consolidated P&amp;L'!BG23+'Consolidated P&amp;L'!BH23+'Consolidated P&amp;L'!BI23)*12/12+Assumptions!H54)*Assumptions!B8)-BI5)),0)</f>
        <v/>
      </c>
      <c r="BJ10" s="156">
        <f>IF(AND(Assumptions!B54&lt;&gt;"",IFERROR(DATEVALUE(TEXT(Assumptions!B54,"MM/DD/YYYY")),0)&gt;=DATE(2031,9,1),IFERROR(DATEVALUE(TEXT(Assumptions!B54,"MM/DD/YYYY")),0)&lt;=DATE(2031,9,30)),MIN(Assumptions!G54,MAX(0,((('Consolidated P&amp;L'!AY23+'Consolidated P&amp;L'!AZ23+'Consolidated P&amp;L'!BA23+'Consolidated P&amp;L'!BB23+'Consolidated P&amp;L'!BC23+'Consolidated P&amp;L'!BD23+'Consolidated P&amp;L'!BE23+'Consolidated P&amp;L'!BF23+'Consolidated P&amp;L'!BG23+'Consolidated P&amp;L'!BH23+'Consolidated P&amp;L'!BI23+'Consolidated P&amp;L'!BJ23)*12/12+Assumptions!H54)*Assumptions!B8)-BJ5)),0)</f>
        <v/>
      </c>
      <c r="BL10" s="157">
        <f>C10+D10+E10+F10+G10+H10+I10+J10+K10+L10+M10+N10</f>
        <v/>
      </c>
      <c r="BM10" s="157">
        <f>O10+P10+Q10+R10+S10+T10+U10+V10+W10+X10+Y10+Z10</f>
        <v/>
      </c>
      <c r="BN10" s="157">
        <f>AA10+AB10+AC10+AD10+AE10+AF10+AG10+AH10+AI10+AJ10+AK10+AL10</f>
        <v/>
      </c>
      <c r="BO10" s="157">
        <f>AM10+AN10+AO10+AP10+AQ10+AR10+AS10+AT10+AU10+AV10+AW10+AX10</f>
        <v/>
      </c>
      <c r="BP10" s="157">
        <f>AY10+AZ10+BA10+BB10+BC10+BD10+BE10+BF10+BG10+BH10+BI10+BJ10</f>
        <v/>
      </c>
    </row>
    <row r="11" ht="15" customHeight="1" s="104">
      <c r="A11" s="107" t="inlineStr">
        <is>
          <t xml:space="preserve">    Add-On 5 Debt Draw</t>
        </is>
      </c>
      <c r="C11" s="156">
        <f>IF(AND(Assumptions!B55&lt;&gt;"",IFERROR(DATEVALUE(TEXT(Assumptions!B55,"MM/DD/YYYY")),0)&gt;=DATE(2026,10,1),IFERROR(DATEVALUE(TEXT(Assumptions!B55,"MM/DD/YYYY")),0)&lt;=DATE(2026,10,31)),MIN(Assumptions!G55,MAX(0,((('Consolidated P&amp;L'!C23)*12/1+Assumptions!H55)*Assumptions!B8)-C5)),0)</f>
        <v/>
      </c>
      <c r="D11" s="156">
        <f>IF(AND(Assumptions!B55&lt;&gt;"",IFERROR(DATEVALUE(TEXT(Assumptions!B55,"MM/DD/YYYY")),0)&gt;=DATE(2026,11,1),IFERROR(DATEVALUE(TEXT(Assumptions!B55,"MM/DD/YYYY")),0)&lt;=DATE(2026,11,30)),MIN(Assumptions!G55,MAX(0,((('Consolidated P&amp;L'!C23+'Consolidated P&amp;L'!D23)*12/2+Assumptions!H55)*Assumptions!B8)-D5)),0)</f>
        <v/>
      </c>
      <c r="E11" s="156">
        <f>IF(AND(Assumptions!B55&lt;&gt;"",IFERROR(DATEVALUE(TEXT(Assumptions!B55,"MM/DD/YYYY")),0)&gt;=DATE(2026,12,1),IFERROR(DATEVALUE(TEXT(Assumptions!B55,"MM/DD/YYYY")),0)&lt;=DATE(2026,12,31)),MIN(Assumptions!G55,MAX(0,((('Consolidated P&amp;L'!C23+'Consolidated P&amp;L'!D23+'Consolidated P&amp;L'!E23)*12/3+Assumptions!H55)*Assumptions!B8)-E5)),0)</f>
        <v/>
      </c>
      <c r="F11" s="156">
        <f>IF(AND(Assumptions!B55&lt;&gt;"",IFERROR(DATEVALUE(TEXT(Assumptions!B55,"MM/DD/YYYY")),0)&gt;=DATE(2027,1,1),IFERROR(DATEVALUE(TEXT(Assumptions!B55,"MM/DD/YYYY")),0)&lt;=DATE(2027,1,31)),MIN(Assumptions!G55,MAX(0,((('Consolidated P&amp;L'!C23+'Consolidated P&amp;L'!D23+'Consolidated P&amp;L'!E23+'Consolidated P&amp;L'!F23)*12/4+Assumptions!H55)*Assumptions!B8)-F5)),0)</f>
        <v/>
      </c>
      <c r="G11" s="156">
        <f>IF(AND(Assumptions!B55&lt;&gt;"",IFERROR(DATEVALUE(TEXT(Assumptions!B55,"MM/DD/YYYY")),0)&gt;=DATE(2027,2,1),IFERROR(DATEVALUE(TEXT(Assumptions!B55,"MM/DD/YYYY")),0)&lt;=DATE(2027,2,28)),MIN(Assumptions!G55,MAX(0,((('Consolidated P&amp;L'!C23+'Consolidated P&amp;L'!D23+'Consolidated P&amp;L'!E23+'Consolidated P&amp;L'!F23+'Consolidated P&amp;L'!G23)*12/5+Assumptions!H55)*Assumptions!B8)-G5)),0)</f>
        <v/>
      </c>
      <c r="H11" s="156">
        <f>IF(AND(Assumptions!B55&lt;&gt;"",IFERROR(DATEVALUE(TEXT(Assumptions!B55,"MM/DD/YYYY")),0)&gt;=DATE(2027,3,1),IFERROR(DATEVALUE(TEXT(Assumptions!B55,"MM/DD/YYYY")),0)&lt;=DATE(2027,3,31)),MIN(Assumptions!G55,MAX(0,((('Consolidated P&amp;L'!C23+'Consolidated P&amp;L'!D23+'Consolidated P&amp;L'!E23+'Consolidated P&amp;L'!F23+'Consolidated P&amp;L'!G23+'Consolidated P&amp;L'!H23)*12/6+Assumptions!H55)*Assumptions!B8)-H5)),0)</f>
        <v/>
      </c>
      <c r="I11" s="156">
        <f>IF(AND(Assumptions!B55&lt;&gt;"",IFERROR(DATEVALUE(TEXT(Assumptions!B55,"MM/DD/YYYY")),0)&gt;=DATE(2027,4,1),IFERROR(DATEVALUE(TEXT(Assumptions!B55,"MM/DD/YYYY")),0)&lt;=DATE(2027,4,30)),MIN(Assumptions!G55,MAX(0,((('Consolidated P&amp;L'!C23+'Consolidated P&amp;L'!D23+'Consolidated P&amp;L'!E23+'Consolidated P&amp;L'!F23+'Consolidated P&amp;L'!G23+'Consolidated P&amp;L'!H23+'Consolidated P&amp;L'!I23)*12/7+Assumptions!H55)*Assumptions!B8)-I5)),0)</f>
        <v/>
      </c>
      <c r="J11" s="156">
        <f>IF(AND(Assumptions!B55&lt;&gt;"",IFERROR(DATEVALUE(TEXT(Assumptions!B55,"MM/DD/YYYY")),0)&gt;=DATE(2027,5,1),IFERROR(DATEVALUE(TEXT(Assumptions!B55,"MM/DD/YYYY")),0)&lt;=DATE(2027,5,31)),MIN(Assumptions!G55,MAX(0,((('Consolidated P&amp;L'!C23+'Consolidated P&amp;L'!D23+'Consolidated P&amp;L'!E23+'Consolidated P&amp;L'!F23+'Consolidated P&amp;L'!G23+'Consolidated P&amp;L'!H23+'Consolidated P&amp;L'!I23+'Consolidated P&amp;L'!J23)*12/8+Assumptions!H55)*Assumptions!B8)-J5)),0)</f>
        <v/>
      </c>
      <c r="K11" s="156">
        <f>IF(AND(Assumptions!B55&lt;&gt;"",IFERROR(DATEVALUE(TEXT(Assumptions!B55,"MM/DD/YYYY")),0)&gt;=DATE(2027,6,1),IFERROR(DATEVALUE(TEXT(Assumptions!B55,"MM/DD/YYYY")),0)&lt;=DATE(2027,6,30)),MIN(Assumptions!G55,MAX(0,((('Consolidated P&amp;L'!C23+'Consolidated P&amp;L'!D23+'Consolidated P&amp;L'!E23+'Consolidated P&amp;L'!F23+'Consolidated P&amp;L'!G23+'Consolidated P&amp;L'!H23+'Consolidated P&amp;L'!I23+'Consolidated P&amp;L'!J23+'Consolidated P&amp;L'!K23)*12/9+Assumptions!H55)*Assumptions!B8)-K5)),0)</f>
        <v/>
      </c>
      <c r="L11" s="156">
        <f>IF(AND(Assumptions!B55&lt;&gt;"",IFERROR(DATEVALUE(TEXT(Assumptions!B55,"MM/DD/YYYY")),0)&gt;=DATE(2027,7,1),IFERROR(DATEVALUE(TEXT(Assumptions!B55,"MM/DD/YYYY")),0)&lt;=DATE(2027,7,31)),MIN(Assumptions!G55,MAX(0,((('Consolidated P&amp;L'!C23+'Consolidated P&amp;L'!D23+'Consolidated P&amp;L'!E23+'Consolidated P&amp;L'!F23+'Consolidated P&amp;L'!G23+'Consolidated P&amp;L'!H23+'Consolidated P&amp;L'!I23+'Consolidated P&amp;L'!J23+'Consolidated P&amp;L'!K23+'Consolidated P&amp;L'!L23)*12/10+Assumptions!H55)*Assumptions!B8)-L5)),0)</f>
        <v/>
      </c>
      <c r="M11" s="156">
        <f>IF(AND(Assumptions!B55&lt;&gt;"",IFERROR(DATEVALUE(TEXT(Assumptions!B55,"MM/DD/YYYY")),0)&gt;=DATE(2027,8,1),IFERROR(DATEVALUE(TEXT(Assumptions!B55,"MM/DD/YYYY")),0)&lt;=DATE(2027,8,31)),MIN(Assumptions!G55,MAX(0,((('Consolidated P&amp;L'!C23+'Consolidated P&amp;L'!D23+'Consolidated P&amp;L'!E23+'Consolidated P&amp;L'!F23+'Consolidated P&amp;L'!G23+'Consolidated P&amp;L'!H23+'Consolidated P&amp;L'!I23+'Consolidated P&amp;L'!J23+'Consolidated P&amp;L'!K23+'Consolidated P&amp;L'!L23+'Consolidated P&amp;L'!M23)*12/11+Assumptions!H55)*Assumptions!B8)-M5)),0)</f>
        <v/>
      </c>
      <c r="N11" s="156">
        <f>IF(AND(Assumptions!B55&lt;&gt;"",IFERROR(DATEVALUE(TEXT(Assumptions!B55,"MM/DD/YYYY")),0)&gt;=DATE(2027,9,1),IFERROR(DATEVALUE(TEXT(Assumptions!B55,"MM/DD/YYYY")),0)&lt;=DATE(2027,9,30)),MIN(Assumptions!G55,MAX(0,((('Consolidated P&amp;L'!C23+'Consolidated P&amp;L'!D23+'Consolidated P&amp;L'!E23+'Consolidated P&amp;L'!F23+'Consolidated P&amp;L'!G23+'Consolidated P&amp;L'!H23+'Consolidated P&amp;L'!I23+'Consolidated P&amp;L'!J23+'Consolidated P&amp;L'!K23+'Consolidated P&amp;L'!L23+'Consolidated P&amp;L'!M23+'Consolidated P&amp;L'!N23)*12/12+Assumptions!H55)*Assumptions!B8)-N5)),0)</f>
        <v/>
      </c>
      <c r="O11" s="156">
        <f>IF(AND(Assumptions!B55&lt;&gt;"",IFERROR(DATEVALUE(TEXT(Assumptions!B55,"MM/DD/YYYY")),0)&gt;=DATE(2027,10,1),IFERROR(DATEVALUE(TEXT(Assumptions!B55,"MM/DD/YYYY")),0)&lt;=DATE(2027,10,31)),MIN(Assumptions!G55,MAX(0,((('Consolidated P&amp;L'!D23+'Consolidated P&amp;L'!E23+'Consolidated P&amp;L'!F23+'Consolidated P&amp;L'!G23+'Consolidated P&amp;L'!H23+'Consolidated P&amp;L'!I23+'Consolidated P&amp;L'!J23+'Consolidated P&amp;L'!K23+'Consolidated P&amp;L'!L23+'Consolidated P&amp;L'!M23+'Consolidated P&amp;L'!N23+'Consolidated P&amp;L'!O23)*12/12+Assumptions!H55)*Assumptions!B8)-O5)),0)</f>
        <v/>
      </c>
      <c r="P11" s="156">
        <f>IF(AND(Assumptions!B55&lt;&gt;"",IFERROR(DATEVALUE(TEXT(Assumptions!B55,"MM/DD/YYYY")),0)&gt;=DATE(2027,11,1),IFERROR(DATEVALUE(TEXT(Assumptions!B55,"MM/DD/YYYY")),0)&lt;=DATE(2027,11,30)),MIN(Assumptions!G55,MAX(0,((('Consolidated P&amp;L'!E23+'Consolidated P&amp;L'!F23+'Consolidated P&amp;L'!G23+'Consolidated P&amp;L'!H23+'Consolidated P&amp;L'!I23+'Consolidated P&amp;L'!J23+'Consolidated P&amp;L'!K23+'Consolidated P&amp;L'!L23+'Consolidated P&amp;L'!M23+'Consolidated P&amp;L'!N23+'Consolidated P&amp;L'!O23+'Consolidated P&amp;L'!P23)*12/12+Assumptions!H55)*Assumptions!B8)-P5)),0)</f>
        <v/>
      </c>
      <c r="Q11" s="156">
        <f>IF(AND(Assumptions!B55&lt;&gt;"",IFERROR(DATEVALUE(TEXT(Assumptions!B55,"MM/DD/YYYY")),0)&gt;=DATE(2027,12,1),IFERROR(DATEVALUE(TEXT(Assumptions!B55,"MM/DD/YYYY")),0)&lt;=DATE(2027,12,31)),MIN(Assumptions!G55,MAX(0,((('Consolidated P&amp;L'!F23+'Consolidated P&amp;L'!G23+'Consolidated P&amp;L'!H23+'Consolidated P&amp;L'!I23+'Consolidated P&amp;L'!J23+'Consolidated P&amp;L'!K23+'Consolidated P&amp;L'!L23+'Consolidated P&amp;L'!M23+'Consolidated P&amp;L'!N23+'Consolidated P&amp;L'!O23+'Consolidated P&amp;L'!P23+'Consolidated P&amp;L'!Q23)*12/12+Assumptions!H55)*Assumptions!B8)-Q5)),0)</f>
        <v/>
      </c>
      <c r="R11" s="156">
        <f>IF(AND(Assumptions!B55&lt;&gt;"",IFERROR(DATEVALUE(TEXT(Assumptions!B55,"MM/DD/YYYY")),0)&gt;=DATE(2028,1,1),IFERROR(DATEVALUE(TEXT(Assumptions!B55,"MM/DD/YYYY")),0)&lt;=DATE(2028,1,31)),MIN(Assumptions!G55,MAX(0,((('Consolidated P&amp;L'!G23+'Consolidated P&amp;L'!H23+'Consolidated P&amp;L'!I23+'Consolidated P&amp;L'!J23+'Consolidated P&amp;L'!K23+'Consolidated P&amp;L'!L23+'Consolidated P&amp;L'!M23+'Consolidated P&amp;L'!N23+'Consolidated P&amp;L'!O23+'Consolidated P&amp;L'!P23+'Consolidated P&amp;L'!Q23+'Consolidated P&amp;L'!R23)*12/12+Assumptions!H55)*Assumptions!B8)-R5)),0)</f>
        <v/>
      </c>
      <c r="S11" s="156">
        <f>IF(AND(Assumptions!B55&lt;&gt;"",IFERROR(DATEVALUE(TEXT(Assumptions!B55,"MM/DD/YYYY")),0)&gt;=DATE(2028,2,1),IFERROR(DATEVALUE(TEXT(Assumptions!B55,"MM/DD/YYYY")),0)&lt;=DATE(2028,2,29)),MIN(Assumptions!G55,MAX(0,((('Consolidated P&amp;L'!H23+'Consolidated P&amp;L'!I23+'Consolidated P&amp;L'!J23+'Consolidated P&amp;L'!K23+'Consolidated P&amp;L'!L23+'Consolidated P&amp;L'!M23+'Consolidated P&amp;L'!N23+'Consolidated P&amp;L'!O23+'Consolidated P&amp;L'!P23+'Consolidated P&amp;L'!Q23+'Consolidated P&amp;L'!R23+'Consolidated P&amp;L'!S23)*12/12+Assumptions!H55)*Assumptions!B8)-S5)),0)</f>
        <v/>
      </c>
      <c r="T11" s="156">
        <f>IF(AND(Assumptions!B55&lt;&gt;"",IFERROR(DATEVALUE(TEXT(Assumptions!B55,"MM/DD/YYYY")),0)&gt;=DATE(2028,3,1),IFERROR(DATEVALUE(TEXT(Assumptions!B55,"MM/DD/YYYY")),0)&lt;=DATE(2028,3,31)),MIN(Assumptions!G55,MAX(0,((('Consolidated P&amp;L'!I23+'Consolidated P&amp;L'!J23+'Consolidated P&amp;L'!K23+'Consolidated P&amp;L'!L23+'Consolidated P&amp;L'!M23+'Consolidated P&amp;L'!N23+'Consolidated P&amp;L'!O23+'Consolidated P&amp;L'!P23+'Consolidated P&amp;L'!Q23+'Consolidated P&amp;L'!R23+'Consolidated P&amp;L'!S23+'Consolidated P&amp;L'!T23)*12/12+Assumptions!H55)*Assumptions!B8)-T5)),0)</f>
        <v/>
      </c>
      <c r="U11" s="156">
        <f>IF(AND(Assumptions!B55&lt;&gt;"",IFERROR(DATEVALUE(TEXT(Assumptions!B55,"MM/DD/YYYY")),0)&gt;=DATE(2028,4,1),IFERROR(DATEVALUE(TEXT(Assumptions!B55,"MM/DD/YYYY")),0)&lt;=DATE(2028,4,30)),MIN(Assumptions!G55,MAX(0,((('Consolidated P&amp;L'!J23+'Consolidated P&amp;L'!K23+'Consolidated P&amp;L'!L23+'Consolidated P&amp;L'!M23+'Consolidated P&amp;L'!N23+'Consolidated P&amp;L'!O23+'Consolidated P&amp;L'!P23+'Consolidated P&amp;L'!Q23+'Consolidated P&amp;L'!R23+'Consolidated P&amp;L'!S23+'Consolidated P&amp;L'!T23+'Consolidated P&amp;L'!U23)*12/12+Assumptions!H55)*Assumptions!B8)-U5)),0)</f>
        <v/>
      </c>
      <c r="V11" s="156">
        <f>IF(AND(Assumptions!B55&lt;&gt;"",IFERROR(DATEVALUE(TEXT(Assumptions!B55,"MM/DD/YYYY")),0)&gt;=DATE(2028,5,1),IFERROR(DATEVALUE(TEXT(Assumptions!B55,"MM/DD/YYYY")),0)&lt;=DATE(2028,5,31)),MIN(Assumptions!G55,MAX(0,((('Consolidated P&amp;L'!K23+'Consolidated P&amp;L'!L23+'Consolidated P&amp;L'!M23+'Consolidated P&amp;L'!N23+'Consolidated P&amp;L'!O23+'Consolidated P&amp;L'!P23+'Consolidated P&amp;L'!Q23+'Consolidated P&amp;L'!R23+'Consolidated P&amp;L'!S23+'Consolidated P&amp;L'!T23+'Consolidated P&amp;L'!U23+'Consolidated P&amp;L'!V23)*12/12+Assumptions!H55)*Assumptions!B8)-V5)),0)</f>
        <v/>
      </c>
      <c r="W11" s="156">
        <f>IF(AND(Assumptions!B55&lt;&gt;"",IFERROR(DATEVALUE(TEXT(Assumptions!B55,"MM/DD/YYYY")),0)&gt;=DATE(2028,6,1),IFERROR(DATEVALUE(TEXT(Assumptions!B55,"MM/DD/YYYY")),0)&lt;=DATE(2028,6,30)),MIN(Assumptions!G55,MAX(0,((('Consolidated P&amp;L'!L23+'Consolidated P&amp;L'!M23+'Consolidated P&amp;L'!N23+'Consolidated P&amp;L'!O23+'Consolidated P&amp;L'!P23+'Consolidated P&amp;L'!Q23+'Consolidated P&amp;L'!R23+'Consolidated P&amp;L'!S23+'Consolidated P&amp;L'!T23+'Consolidated P&amp;L'!U23+'Consolidated P&amp;L'!V23+'Consolidated P&amp;L'!W23)*12/12+Assumptions!H55)*Assumptions!B8)-W5)),0)</f>
        <v/>
      </c>
      <c r="X11" s="156">
        <f>IF(AND(Assumptions!B55&lt;&gt;"",IFERROR(DATEVALUE(TEXT(Assumptions!B55,"MM/DD/YYYY")),0)&gt;=DATE(2028,7,1),IFERROR(DATEVALUE(TEXT(Assumptions!B55,"MM/DD/YYYY")),0)&lt;=DATE(2028,7,31)),MIN(Assumptions!G55,MAX(0,((('Consolidated P&amp;L'!M23+'Consolidated P&amp;L'!N23+'Consolidated P&amp;L'!O23+'Consolidated P&amp;L'!P23+'Consolidated P&amp;L'!Q23+'Consolidated P&amp;L'!R23+'Consolidated P&amp;L'!S23+'Consolidated P&amp;L'!T23+'Consolidated P&amp;L'!U23+'Consolidated P&amp;L'!V23+'Consolidated P&amp;L'!W23+'Consolidated P&amp;L'!X23)*12/12+Assumptions!H55)*Assumptions!B8)-X5)),0)</f>
        <v/>
      </c>
      <c r="Y11" s="156">
        <f>IF(AND(Assumptions!B55&lt;&gt;"",IFERROR(DATEVALUE(TEXT(Assumptions!B55,"MM/DD/YYYY")),0)&gt;=DATE(2028,8,1),IFERROR(DATEVALUE(TEXT(Assumptions!B55,"MM/DD/YYYY")),0)&lt;=DATE(2028,8,31)),MIN(Assumptions!G55,MAX(0,((('Consolidated P&amp;L'!N23+'Consolidated P&amp;L'!O23+'Consolidated P&amp;L'!P23+'Consolidated P&amp;L'!Q23+'Consolidated P&amp;L'!R23+'Consolidated P&amp;L'!S23+'Consolidated P&amp;L'!T23+'Consolidated P&amp;L'!U23+'Consolidated P&amp;L'!V23+'Consolidated P&amp;L'!W23+'Consolidated P&amp;L'!X23+'Consolidated P&amp;L'!Y23)*12/12+Assumptions!H55)*Assumptions!B8)-Y5)),0)</f>
        <v/>
      </c>
      <c r="Z11" s="156">
        <f>IF(AND(Assumptions!B55&lt;&gt;"",IFERROR(DATEVALUE(TEXT(Assumptions!B55,"MM/DD/YYYY")),0)&gt;=DATE(2028,9,1),IFERROR(DATEVALUE(TEXT(Assumptions!B55,"MM/DD/YYYY")),0)&lt;=DATE(2028,9,30)),MIN(Assumptions!G55,MAX(0,((('Consolidated P&amp;L'!O23+'Consolidated P&amp;L'!P23+'Consolidated P&amp;L'!Q23+'Consolidated P&amp;L'!R23+'Consolidated P&amp;L'!S23+'Consolidated P&amp;L'!T23+'Consolidated P&amp;L'!U23+'Consolidated P&amp;L'!V23+'Consolidated P&amp;L'!W23+'Consolidated P&amp;L'!X23+'Consolidated P&amp;L'!Y23+'Consolidated P&amp;L'!Z23)*12/12+Assumptions!H55)*Assumptions!B8)-Z5)),0)</f>
        <v/>
      </c>
      <c r="AA11" s="156">
        <f>IF(AND(Assumptions!B55&lt;&gt;"",IFERROR(DATEVALUE(TEXT(Assumptions!B55,"MM/DD/YYYY")),0)&gt;=DATE(2028,10,1),IFERROR(DATEVALUE(TEXT(Assumptions!B55,"MM/DD/YYYY")),0)&lt;=DATE(2028,10,31)),MIN(Assumptions!G55,MAX(0,((('Consolidated P&amp;L'!P23+'Consolidated P&amp;L'!Q23+'Consolidated P&amp;L'!R23+'Consolidated P&amp;L'!S23+'Consolidated P&amp;L'!T23+'Consolidated P&amp;L'!U23+'Consolidated P&amp;L'!V23+'Consolidated P&amp;L'!W23+'Consolidated P&amp;L'!X23+'Consolidated P&amp;L'!Y23+'Consolidated P&amp;L'!Z23+'Consolidated P&amp;L'!AA23)*12/12+Assumptions!H55)*Assumptions!B8)-AA5)),0)</f>
        <v/>
      </c>
      <c r="AB11" s="156">
        <f>IF(AND(Assumptions!B55&lt;&gt;"",IFERROR(DATEVALUE(TEXT(Assumptions!B55,"MM/DD/YYYY")),0)&gt;=DATE(2028,11,1),IFERROR(DATEVALUE(TEXT(Assumptions!B55,"MM/DD/YYYY")),0)&lt;=DATE(2028,11,30)),MIN(Assumptions!G55,MAX(0,((('Consolidated P&amp;L'!Q23+'Consolidated P&amp;L'!R23+'Consolidated P&amp;L'!S23+'Consolidated P&amp;L'!T23+'Consolidated P&amp;L'!U23+'Consolidated P&amp;L'!V23+'Consolidated P&amp;L'!W23+'Consolidated P&amp;L'!X23+'Consolidated P&amp;L'!Y23+'Consolidated P&amp;L'!Z23+'Consolidated P&amp;L'!AA23+'Consolidated P&amp;L'!AB23)*12/12+Assumptions!H55)*Assumptions!B8)-AB5)),0)</f>
        <v/>
      </c>
      <c r="AC11" s="156">
        <f>IF(AND(Assumptions!B55&lt;&gt;"",IFERROR(DATEVALUE(TEXT(Assumptions!B55,"MM/DD/YYYY")),0)&gt;=DATE(2028,12,1),IFERROR(DATEVALUE(TEXT(Assumptions!B55,"MM/DD/YYYY")),0)&lt;=DATE(2028,12,31)),MIN(Assumptions!G55,MAX(0,((('Consolidated P&amp;L'!R23+'Consolidated P&amp;L'!S23+'Consolidated P&amp;L'!T23+'Consolidated P&amp;L'!U23+'Consolidated P&amp;L'!V23+'Consolidated P&amp;L'!W23+'Consolidated P&amp;L'!X23+'Consolidated P&amp;L'!Y23+'Consolidated P&amp;L'!Z23+'Consolidated P&amp;L'!AA23+'Consolidated P&amp;L'!AB23+'Consolidated P&amp;L'!AC23)*12/12+Assumptions!H55)*Assumptions!B8)-AC5)),0)</f>
        <v/>
      </c>
      <c r="AD11" s="156">
        <f>IF(AND(Assumptions!B55&lt;&gt;"",IFERROR(DATEVALUE(TEXT(Assumptions!B55,"MM/DD/YYYY")),0)&gt;=DATE(2029,1,1),IFERROR(DATEVALUE(TEXT(Assumptions!B55,"MM/DD/YYYY")),0)&lt;=DATE(2029,1,31)),MIN(Assumptions!G55,MAX(0,((('Consolidated P&amp;L'!S23+'Consolidated P&amp;L'!T23+'Consolidated P&amp;L'!U23+'Consolidated P&amp;L'!V23+'Consolidated P&amp;L'!W23+'Consolidated P&amp;L'!X23+'Consolidated P&amp;L'!Y23+'Consolidated P&amp;L'!Z23+'Consolidated P&amp;L'!AA23+'Consolidated P&amp;L'!AB23+'Consolidated P&amp;L'!AC23+'Consolidated P&amp;L'!AD23)*12/12+Assumptions!H55)*Assumptions!B8)-AD5)),0)</f>
        <v/>
      </c>
      <c r="AE11" s="156">
        <f>IF(AND(Assumptions!B55&lt;&gt;"",IFERROR(DATEVALUE(TEXT(Assumptions!B55,"MM/DD/YYYY")),0)&gt;=DATE(2029,2,1),IFERROR(DATEVALUE(TEXT(Assumptions!B55,"MM/DD/YYYY")),0)&lt;=DATE(2029,2,28)),MIN(Assumptions!G55,MAX(0,((('Consolidated P&amp;L'!T23+'Consolidated P&amp;L'!U23+'Consolidated P&amp;L'!V23+'Consolidated P&amp;L'!W23+'Consolidated P&amp;L'!X23+'Consolidated P&amp;L'!Y23+'Consolidated P&amp;L'!Z23+'Consolidated P&amp;L'!AA23+'Consolidated P&amp;L'!AB23+'Consolidated P&amp;L'!AC23+'Consolidated P&amp;L'!AD23+'Consolidated P&amp;L'!AE23)*12/12+Assumptions!H55)*Assumptions!B8)-AE5)),0)</f>
        <v/>
      </c>
      <c r="AF11" s="156">
        <f>IF(AND(Assumptions!B55&lt;&gt;"",IFERROR(DATEVALUE(TEXT(Assumptions!B55,"MM/DD/YYYY")),0)&gt;=DATE(2029,3,1),IFERROR(DATEVALUE(TEXT(Assumptions!B55,"MM/DD/YYYY")),0)&lt;=DATE(2029,3,31)),MIN(Assumptions!G55,MAX(0,((('Consolidated P&amp;L'!U23+'Consolidated P&amp;L'!V23+'Consolidated P&amp;L'!W23+'Consolidated P&amp;L'!X23+'Consolidated P&amp;L'!Y23+'Consolidated P&amp;L'!Z23+'Consolidated P&amp;L'!AA23+'Consolidated P&amp;L'!AB23+'Consolidated P&amp;L'!AC23+'Consolidated P&amp;L'!AD23+'Consolidated P&amp;L'!AE23+'Consolidated P&amp;L'!AF23)*12/12+Assumptions!H55)*Assumptions!B8)-AF5)),0)</f>
        <v/>
      </c>
      <c r="AG11" s="156">
        <f>IF(AND(Assumptions!B55&lt;&gt;"",IFERROR(DATEVALUE(TEXT(Assumptions!B55,"MM/DD/YYYY")),0)&gt;=DATE(2029,4,1),IFERROR(DATEVALUE(TEXT(Assumptions!B55,"MM/DD/YYYY")),0)&lt;=DATE(2029,4,30)),MIN(Assumptions!G55,MAX(0,((('Consolidated P&amp;L'!V23+'Consolidated P&amp;L'!W23+'Consolidated P&amp;L'!X23+'Consolidated P&amp;L'!Y23+'Consolidated P&amp;L'!Z23+'Consolidated P&amp;L'!AA23+'Consolidated P&amp;L'!AB23+'Consolidated P&amp;L'!AC23+'Consolidated P&amp;L'!AD23+'Consolidated P&amp;L'!AE23+'Consolidated P&amp;L'!AF23+'Consolidated P&amp;L'!AG23)*12/12+Assumptions!H55)*Assumptions!B8)-AG5)),0)</f>
        <v/>
      </c>
      <c r="AH11" s="156">
        <f>IF(AND(Assumptions!B55&lt;&gt;"",IFERROR(DATEVALUE(TEXT(Assumptions!B55,"MM/DD/YYYY")),0)&gt;=DATE(2029,5,1),IFERROR(DATEVALUE(TEXT(Assumptions!B55,"MM/DD/YYYY")),0)&lt;=DATE(2029,5,31)),MIN(Assumptions!G55,MAX(0,((('Consolidated P&amp;L'!W23+'Consolidated P&amp;L'!X23+'Consolidated P&amp;L'!Y23+'Consolidated P&amp;L'!Z23+'Consolidated P&amp;L'!AA23+'Consolidated P&amp;L'!AB23+'Consolidated P&amp;L'!AC23+'Consolidated P&amp;L'!AD23+'Consolidated P&amp;L'!AE23+'Consolidated P&amp;L'!AF23+'Consolidated P&amp;L'!AG23+'Consolidated P&amp;L'!AH23)*12/12+Assumptions!H55)*Assumptions!B8)-AH5)),0)</f>
        <v/>
      </c>
      <c r="AI11" s="156">
        <f>IF(AND(Assumptions!B55&lt;&gt;"",IFERROR(DATEVALUE(TEXT(Assumptions!B55,"MM/DD/YYYY")),0)&gt;=DATE(2029,6,1),IFERROR(DATEVALUE(TEXT(Assumptions!B55,"MM/DD/YYYY")),0)&lt;=DATE(2029,6,30)),MIN(Assumptions!G55,MAX(0,((('Consolidated P&amp;L'!X23+'Consolidated P&amp;L'!Y23+'Consolidated P&amp;L'!Z23+'Consolidated P&amp;L'!AA23+'Consolidated P&amp;L'!AB23+'Consolidated P&amp;L'!AC23+'Consolidated P&amp;L'!AD23+'Consolidated P&amp;L'!AE23+'Consolidated P&amp;L'!AF23+'Consolidated P&amp;L'!AG23+'Consolidated P&amp;L'!AH23+'Consolidated P&amp;L'!AI23)*12/12+Assumptions!H55)*Assumptions!B8)-AI5)),0)</f>
        <v/>
      </c>
      <c r="AJ11" s="156">
        <f>IF(AND(Assumptions!B55&lt;&gt;"",IFERROR(DATEVALUE(TEXT(Assumptions!B55,"MM/DD/YYYY")),0)&gt;=DATE(2029,7,1),IFERROR(DATEVALUE(TEXT(Assumptions!B55,"MM/DD/YYYY")),0)&lt;=DATE(2029,7,31)),MIN(Assumptions!G55,MAX(0,((('Consolidated P&amp;L'!Y23+'Consolidated P&amp;L'!Z23+'Consolidated P&amp;L'!AA23+'Consolidated P&amp;L'!AB23+'Consolidated P&amp;L'!AC23+'Consolidated P&amp;L'!AD23+'Consolidated P&amp;L'!AE23+'Consolidated P&amp;L'!AF23+'Consolidated P&amp;L'!AG23+'Consolidated P&amp;L'!AH23+'Consolidated P&amp;L'!AI23+'Consolidated P&amp;L'!AJ23)*12/12+Assumptions!H55)*Assumptions!B8)-AJ5)),0)</f>
        <v/>
      </c>
      <c r="AK11" s="156">
        <f>IF(AND(Assumptions!B55&lt;&gt;"",IFERROR(DATEVALUE(TEXT(Assumptions!B55,"MM/DD/YYYY")),0)&gt;=DATE(2029,8,1),IFERROR(DATEVALUE(TEXT(Assumptions!B55,"MM/DD/YYYY")),0)&lt;=DATE(2029,8,31)),MIN(Assumptions!G55,MAX(0,((('Consolidated P&amp;L'!Z23+'Consolidated P&amp;L'!AA23+'Consolidated P&amp;L'!AB23+'Consolidated P&amp;L'!AC23+'Consolidated P&amp;L'!AD23+'Consolidated P&amp;L'!AE23+'Consolidated P&amp;L'!AF23+'Consolidated P&amp;L'!AG23+'Consolidated P&amp;L'!AH23+'Consolidated P&amp;L'!AI23+'Consolidated P&amp;L'!AJ23+'Consolidated P&amp;L'!AK23)*12/12+Assumptions!H55)*Assumptions!B8)-AK5)),0)</f>
        <v/>
      </c>
      <c r="AL11" s="156">
        <f>IF(AND(Assumptions!B55&lt;&gt;"",IFERROR(DATEVALUE(TEXT(Assumptions!B55,"MM/DD/YYYY")),0)&gt;=DATE(2029,9,1),IFERROR(DATEVALUE(TEXT(Assumptions!B55,"MM/DD/YYYY")),0)&lt;=DATE(2029,9,30)),MIN(Assumptions!G55,MAX(0,((('Consolidated P&amp;L'!AA23+'Consolidated P&amp;L'!AB23+'Consolidated P&amp;L'!AC23+'Consolidated P&amp;L'!AD23+'Consolidated P&amp;L'!AE23+'Consolidated P&amp;L'!AF23+'Consolidated P&amp;L'!AG23+'Consolidated P&amp;L'!AH23+'Consolidated P&amp;L'!AI23+'Consolidated P&amp;L'!AJ23+'Consolidated P&amp;L'!AK23+'Consolidated P&amp;L'!AL23)*12/12+Assumptions!H55)*Assumptions!B8)-AL5)),0)</f>
        <v/>
      </c>
      <c r="AM11" s="156">
        <f>IF(AND(Assumptions!B55&lt;&gt;"",IFERROR(DATEVALUE(TEXT(Assumptions!B55,"MM/DD/YYYY")),0)&gt;=DATE(2029,10,1),IFERROR(DATEVALUE(TEXT(Assumptions!B55,"MM/DD/YYYY")),0)&lt;=DATE(2029,10,31)),MIN(Assumptions!G55,MAX(0,((('Consolidated P&amp;L'!AB23+'Consolidated P&amp;L'!AC23+'Consolidated P&amp;L'!AD23+'Consolidated P&amp;L'!AE23+'Consolidated P&amp;L'!AF23+'Consolidated P&amp;L'!AG23+'Consolidated P&amp;L'!AH23+'Consolidated P&amp;L'!AI23+'Consolidated P&amp;L'!AJ23+'Consolidated P&amp;L'!AK23+'Consolidated P&amp;L'!AL23+'Consolidated P&amp;L'!AM23)*12/12+Assumptions!H55)*Assumptions!B8)-AM5)),0)</f>
        <v/>
      </c>
      <c r="AN11" s="156">
        <f>IF(AND(Assumptions!B55&lt;&gt;"",IFERROR(DATEVALUE(TEXT(Assumptions!B55,"MM/DD/YYYY")),0)&gt;=DATE(2029,11,1),IFERROR(DATEVALUE(TEXT(Assumptions!B55,"MM/DD/YYYY")),0)&lt;=DATE(2029,11,30)),MIN(Assumptions!G55,MAX(0,((('Consolidated P&amp;L'!AC23+'Consolidated P&amp;L'!AD23+'Consolidated P&amp;L'!AE23+'Consolidated P&amp;L'!AF23+'Consolidated P&amp;L'!AG23+'Consolidated P&amp;L'!AH23+'Consolidated P&amp;L'!AI23+'Consolidated P&amp;L'!AJ23+'Consolidated P&amp;L'!AK23+'Consolidated P&amp;L'!AL23+'Consolidated P&amp;L'!AM23+'Consolidated P&amp;L'!AN23)*12/12+Assumptions!H55)*Assumptions!B8)-AN5)),0)</f>
        <v/>
      </c>
      <c r="AO11" s="156">
        <f>IF(AND(Assumptions!B55&lt;&gt;"",IFERROR(DATEVALUE(TEXT(Assumptions!B55,"MM/DD/YYYY")),0)&gt;=DATE(2029,12,1),IFERROR(DATEVALUE(TEXT(Assumptions!B55,"MM/DD/YYYY")),0)&lt;=DATE(2029,12,31)),MIN(Assumptions!G55,MAX(0,((('Consolidated P&amp;L'!AD23+'Consolidated P&amp;L'!AE23+'Consolidated P&amp;L'!AF23+'Consolidated P&amp;L'!AG23+'Consolidated P&amp;L'!AH23+'Consolidated P&amp;L'!AI23+'Consolidated P&amp;L'!AJ23+'Consolidated P&amp;L'!AK23+'Consolidated P&amp;L'!AL23+'Consolidated P&amp;L'!AM23+'Consolidated P&amp;L'!AN23+'Consolidated P&amp;L'!AO23)*12/12+Assumptions!H55)*Assumptions!B8)-AO5)),0)</f>
        <v/>
      </c>
      <c r="AP11" s="156">
        <f>IF(AND(Assumptions!B55&lt;&gt;"",IFERROR(DATEVALUE(TEXT(Assumptions!B55,"MM/DD/YYYY")),0)&gt;=DATE(2030,1,1),IFERROR(DATEVALUE(TEXT(Assumptions!B55,"MM/DD/YYYY")),0)&lt;=DATE(2030,1,31)),MIN(Assumptions!G55,MAX(0,((('Consolidated P&amp;L'!AE23+'Consolidated P&amp;L'!AF23+'Consolidated P&amp;L'!AG23+'Consolidated P&amp;L'!AH23+'Consolidated P&amp;L'!AI23+'Consolidated P&amp;L'!AJ23+'Consolidated P&amp;L'!AK23+'Consolidated P&amp;L'!AL23+'Consolidated P&amp;L'!AM23+'Consolidated P&amp;L'!AN23+'Consolidated P&amp;L'!AO23+'Consolidated P&amp;L'!AP23)*12/12+Assumptions!H55)*Assumptions!B8)-AP5)),0)</f>
        <v/>
      </c>
      <c r="AQ11" s="156">
        <f>IF(AND(Assumptions!B55&lt;&gt;"",IFERROR(DATEVALUE(TEXT(Assumptions!B55,"MM/DD/YYYY")),0)&gt;=DATE(2030,2,1),IFERROR(DATEVALUE(TEXT(Assumptions!B55,"MM/DD/YYYY")),0)&lt;=DATE(2030,2,28)),MIN(Assumptions!G55,MAX(0,((('Consolidated P&amp;L'!AF23+'Consolidated P&amp;L'!AG23+'Consolidated P&amp;L'!AH23+'Consolidated P&amp;L'!AI23+'Consolidated P&amp;L'!AJ23+'Consolidated P&amp;L'!AK23+'Consolidated P&amp;L'!AL23+'Consolidated P&amp;L'!AM23+'Consolidated P&amp;L'!AN23+'Consolidated P&amp;L'!AO23+'Consolidated P&amp;L'!AP23+'Consolidated P&amp;L'!AQ23)*12/12+Assumptions!H55)*Assumptions!B8)-AQ5)),0)</f>
        <v/>
      </c>
      <c r="AR11" s="156">
        <f>IF(AND(Assumptions!B55&lt;&gt;"",IFERROR(DATEVALUE(TEXT(Assumptions!B55,"MM/DD/YYYY")),0)&gt;=DATE(2030,3,1),IFERROR(DATEVALUE(TEXT(Assumptions!B55,"MM/DD/YYYY")),0)&lt;=DATE(2030,3,31)),MIN(Assumptions!G55,MAX(0,((('Consolidated P&amp;L'!AG23+'Consolidated P&amp;L'!AH23+'Consolidated P&amp;L'!AI23+'Consolidated P&amp;L'!AJ23+'Consolidated P&amp;L'!AK23+'Consolidated P&amp;L'!AL23+'Consolidated P&amp;L'!AM23+'Consolidated P&amp;L'!AN23+'Consolidated P&amp;L'!AO23+'Consolidated P&amp;L'!AP23+'Consolidated P&amp;L'!AQ23+'Consolidated P&amp;L'!AR23)*12/12+Assumptions!H55)*Assumptions!B8)-AR5)),0)</f>
        <v/>
      </c>
      <c r="AS11" s="156">
        <f>IF(AND(Assumptions!B55&lt;&gt;"",IFERROR(DATEVALUE(TEXT(Assumptions!B55,"MM/DD/YYYY")),0)&gt;=DATE(2030,4,1),IFERROR(DATEVALUE(TEXT(Assumptions!B55,"MM/DD/YYYY")),0)&lt;=DATE(2030,4,30)),MIN(Assumptions!G55,MAX(0,((('Consolidated P&amp;L'!AH23+'Consolidated P&amp;L'!AI23+'Consolidated P&amp;L'!AJ23+'Consolidated P&amp;L'!AK23+'Consolidated P&amp;L'!AL23+'Consolidated P&amp;L'!AM23+'Consolidated P&amp;L'!AN23+'Consolidated P&amp;L'!AO23+'Consolidated P&amp;L'!AP23+'Consolidated P&amp;L'!AQ23+'Consolidated P&amp;L'!AR23+'Consolidated P&amp;L'!AS23)*12/12+Assumptions!H55)*Assumptions!B8)-AS5)),0)</f>
        <v/>
      </c>
      <c r="AT11" s="156">
        <f>IF(AND(Assumptions!B55&lt;&gt;"",IFERROR(DATEVALUE(TEXT(Assumptions!B55,"MM/DD/YYYY")),0)&gt;=DATE(2030,5,1),IFERROR(DATEVALUE(TEXT(Assumptions!B55,"MM/DD/YYYY")),0)&lt;=DATE(2030,5,31)),MIN(Assumptions!G55,MAX(0,((('Consolidated P&amp;L'!AI23+'Consolidated P&amp;L'!AJ23+'Consolidated P&amp;L'!AK23+'Consolidated P&amp;L'!AL23+'Consolidated P&amp;L'!AM23+'Consolidated P&amp;L'!AN23+'Consolidated P&amp;L'!AO23+'Consolidated P&amp;L'!AP23+'Consolidated P&amp;L'!AQ23+'Consolidated P&amp;L'!AR23+'Consolidated P&amp;L'!AS23+'Consolidated P&amp;L'!AT23)*12/12+Assumptions!H55)*Assumptions!B8)-AT5)),0)</f>
        <v/>
      </c>
      <c r="AU11" s="156">
        <f>IF(AND(Assumptions!B55&lt;&gt;"",IFERROR(DATEVALUE(TEXT(Assumptions!B55,"MM/DD/YYYY")),0)&gt;=DATE(2030,6,1),IFERROR(DATEVALUE(TEXT(Assumptions!B55,"MM/DD/YYYY")),0)&lt;=DATE(2030,6,30)),MIN(Assumptions!G55,MAX(0,((('Consolidated P&amp;L'!AJ23+'Consolidated P&amp;L'!AK23+'Consolidated P&amp;L'!AL23+'Consolidated P&amp;L'!AM23+'Consolidated P&amp;L'!AN23+'Consolidated P&amp;L'!AO23+'Consolidated P&amp;L'!AP23+'Consolidated P&amp;L'!AQ23+'Consolidated P&amp;L'!AR23+'Consolidated P&amp;L'!AS23+'Consolidated P&amp;L'!AT23+'Consolidated P&amp;L'!AU23)*12/12+Assumptions!H55)*Assumptions!B8)-AU5)),0)</f>
        <v/>
      </c>
      <c r="AV11" s="156">
        <f>IF(AND(Assumptions!B55&lt;&gt;"",IFERROR(DATEVALUE(TEXT(Assumptions!B55,"MM/DD/YYYY")),0)&gt;=DATE(2030,7,1),IFERROR(DATEVALUE(TEXT(Assumptions!B55,"MM/DD/YYYY")),0)&lt;=DATE(2030,7,31)),MIN(Assumptions!G55,MAX(0,((('Consolidated P&amp;L'!AK23+'Consolidated P&amp;L'!AL23+'Consolidated P&amp;L'!AM23+'Consolidated P&amp;L'!AN23+'Consolidated P&amp;L'!AO23+'Consolidated P&amp;L'!AP23+'Consolidated P&amp;L'!AQ23+'Consolidated P&amp;L'!AR23+'Consolidated P&amp;L'!AS23+'Consolidated P&amp;L'!AT23+'Consolidated P&amp;L'!AU23+'Consolidated P&amp;L'!AV23)*12/12+Assumptions!H55)*Assumptions!B8)-AV5)),0)</f>
        <v/>
      </c>
      <c r="AW11" s="156">
        <f>IF(AND(Assumptions!B55&lt;&gt;"",IFERROR(DATEVALUE(TEXT(Assumptions!B55,"MM/DD/YYYY")),0)&gt;=DATE(2030,8,1),IFERROR(DATEVALUE(TEXT(Assumptions!B55,"MM/DD/YYYY")),0)&lt;=DATE(2030,8,31)),MIN(Assumptions!G55,MAX(0,((('Consolidated P&amp;L'!AL23+'Consolidated P&amp;L'!AM23+'Consolidated P&amp;L'!AN23+'Consolidated P&amp;L'!AO23+'Consolidated P&amp;L'!AP23+'Consolidated P&amp;L'!AQ23+'Consolidated P&amp;L'!AR23+'Consolidated P&amp;L'!AS23+'Consolidated P&amp;L'!AT23+'Consolidated P&amp;L'!AU23+'Consolidated P&amp;L'!AV23+'Consolidated P&amp;L'!AW23)*12/12+Assumptions!H55)*Assumptions!B8)-AW5)),0)</f>
        <v/>
      </c>
      <c r="AX11" s="156">
        <f>IF(AND(Assumptions!B55&lt;&gt;"",IFERROR(DATEVALUE(TEXT(Assumptions!B55,"MM/DD/YYYY")),0)&gt;=DATE(2030,9,1),IFERROR(DATEVALUE(TEXT(Assumptions!B55,"MM/DD/YYYY")),0)&lt;=DATE(2030,9,30)),MIN(Assumptions!G55,MAX(0,((('Consolidated P&amp;L'!AM23+'Consolidated P&amp;L'!AN23+'Consolidated P&amp;L'!AO23+'Consolidated P&amp;L'!AP23+'Consolidated P&amp;L'!AQ23+'Consolidated P&amp;L'!AR23+'Consolidated P&amp;L'!AS23+'Consolidated P&amp;L'!AT23+'Consolidated P&amp;L'!AU23+'Consolidated P&amp;L'!AV23+'Consolidated P&amp;L'!AW23+'Consolidated P&amp;L'!AX23)*12/12+Assumptions!H55)*Assumptions!B8)-AX5)),0)</f>
        <v/>
      </c>
      <c r="AY11" s="156">
        <f>IF(AND(Assumptions!B55&lt;&gt;"",IFERROR(DATEVALUE(TEXT(Assumptions!B55,"MM/DD/YYYY")),0)&gt;=DATE(2030,10,1),IFERROR(DATEVALUE(TEXT(Assumptions!B55,"MM/DD/YYYY")),0)&lt;=DATE(2030,10,31)),MIN(Assumptions!G55,MAX(0,((('Consolidated P&amp;L'!AN23+'Consolidated P&amp;L'!AO23+'Consolidated P&amp;L'!AP23+'Consolidated P&amp;L'!AQ23+'Consolidated P&amp;L'!AR23+'Consolidated P&amp;L'!AS23+'Consolidated P&amp;L'!AT23+'Consolidated P&amp;L'!AU23+'Consolidated P&amp;L'!AV23+'Consolidated P&amp;L'!AW23+'Consolidated P&amp;L'!AX23+'Consolidated P&amp;L'!AY23)*12/12+Assumptions!H55)*Assumptions!B8)-AY5)),0)</f>
        <v/>
      </c>
      <c r="AZ11" s="156">
        <f>IF(AND(Assumptions!B55&lt;&gt;"",IFERROR(DATEVALUE(TEXT(Assumptions!B55,"MM/DD/YYYY")),0)&gt;=DATE(2030,11,1),IFERROR(DATEVALUE(TEXT(Assumptions!B55,"MM/DD/YYYY")),0)&lt;=DATE(2030,11,30)),MIN(Assumptions!G55,MAX(0,((('Consolidated P&amp;L'!AO23+'Consolidated P&amp;L'!AP23+'Consolidated P&amp;L'!AQ23+'Consolidated P&amp;L'!AR23+'Consolidated P&amp;L'!AS23+'Consolidated P&amp;L'!AT23+'Consolidated P&amp;L'!AU23+'Consolidated P&amp;L'!AV23+'Consolidated P&amp;L'!AW23+'Consolidated P&amp;L'!AX23+'Consolidated P&amp;L'!AY23+'Consolidated P&amp;L'!AZ23)*12/12+Assumptions!H55)*Assumptions!B8)-AZ5)),0)</f>
        <v/>
      </c>
      <c r="BA11" s="156">
        <f>IF(AND(Assumptions!B55&lt;&gt;"",IFERROR(DATEVALUE(TEXT(Assumptions!B55,"MM/DD/YYYY")),0)&gt;=DATE(2030,12,1),IFERROR(DATEVALUE(TEXT(Assumptions!B55,"MM/DD/YYYY")),0)&lt;=DATE(2030,12,31)),MIN(Assumptions!G55,MAX(0,((('Consolidated P&amp;L'!AP23+'Consolidated P&amp;L'!AQ23+'Consolidated P&amp;L'!AR23+'Consolidated P&amp;L'!AS23+'Consolidated P&amp;L'!AT23+'Consolidated P&amp;L'!AU23+'Consolidated P&amp;L'!AV23+'Consolidated P&amp;L'!AW23+'Consolidated P&amp;L'!AX23+'Consolidated P&amp;L'!AY23+'Consolidated P&amp;L'!AZ23+'Consolidated P&amp;L'!BA23)*12/12+Assumptions!H55)*Assumptions!B8)-BA5)),0)</f>
        <v/>
      </c>
      <c r="BB11" s="156">
        <f>IF(AND(Assumptions!B55&lt;&gt;"",IFERROR(DATEVALUE(TEXT(Assumptions!B55,"MM/DD/YYYY")),0)&gt;=DATE(2031,1,1),IFERROR(DATEVALUE(TEXT(Assumptions!B55,"MM/DD/YYYY")),0)&lt;=DATE(2031,1,31)),MIN(Assumptions!G55,MAX(0,((('Consolidated P&amp;L'!AQ23+'Consolidated P&amp;L'!AR23+'Consolidated P&amp;L'!AS23+'Consolidated P&amp;L'!AT23+'Consolidated P&amp;L'!AU23+'Consolidated P&amp;L'!AV23+'Consolidated P&amp;L'!AW23+'Consolidated P&amp;L'!AX23+'Consolidated P&amp;L'!AY23+'Consolidated P&amp;L'!AZ23+'Consolidated P&amp;L'!BA23+'Consolidated P&amp;L'!BB23)*12/12+Assumptions!H55)*Assumptions!B8)-BB5)),0)</f>
        <v/>
      </c>
      <c r="BC11" s="156">
        <f>IF(AND(Assumptions!B55&lt;&gt;"",IFERROR(DATEVALUE(TEXT(Assumptions!B55,"MM/DD/YYYY")),0)&gt;=DATE(2031,2,1),IFERROR(DATEVALUE(TEXT(Assumptions!B55,"MM/DD/YYYY")),0)&lt;=DATE(2031,2,28)),MIN(Assumptions!G55,MAX(0,((('Consolidated P&amp;L'!AR23+'Consolidated P&amp;L'!AS23+'Consolidated P&amp;L'!AT23+'Consolidated P&amp;L'!AU23+'Consolidated P&amp;L'!AV23+'Consolidated P&amp;L'!AW23+'Consolidated P&amp;L'!AX23+'Consolidated P&amp;L'!AY23+'Consolidated P&amp;L'!AZ23+'Consolidated P&amp;L'!BA23+'Consolidated P&amp;L'!BB23+'Consolidated P&amp;L'!BC23)*12/12+Assumptions!H55)*Assumptions!B8)-BC5)),0)</f>
        <v/>
      </c>
      <c r="BD11" s="156">
        <f>IF(AND(Assumptions!B55&lt;&gt;"",IFERROR(DATEVALUE(TEXT(Assumptions!B55,"MM/DD/YYYY")),0)&gt;=DATE(2031,3,1),IFERROR(DATEVALUE(TEXT(Assumptions!B55,"MM/DD/YYYY")),0)&lt;=DATE(2031,3,31)),MIN(Assumptions!G55,MAX(0,((('Consolidated P&amp;L'!AS23+'Consolidated P&amp;L'!AT23+'Consolidated P&amp;L'!AU23+'Consolidated P&amp;L'!AV23+'Consolidated P&amp;L'!AW23+'Consolidated P&amp;L'!AX23+'Consolidated P&amp;L'!AY23+'Consolidated P&amp;L'!AZ23+'Consolidated P&amp;L'!BA23+'Consolidated P&amp;L'!BB23+'Consolidated P&amp;L'!BC23+'Consolidated P&amp;L'!BD23)*12/12+Assumptions!H55)*Assumptions!B8)-BD5)),0)</f>
        <v/>
      </c>
      <c r="BE11" s="156">
        <f>IF(AND(Assumptions!B55&lt;&gt;"",IFERROR(DATEVALUE(TEXT(Assumptions!B55,"MM/DD/YYYY")),0)&gt;=DATE(2031,4,1),IFERROR(DATEVALUE(TEXT(Assumptions!B55,"MM/DD/YYYY")),0)&lt;=DATE(2031,4,30)),MIN(Assumptions!G55,MAX(0,((('Consolidated P&amp;L'!AT23+'Consolidated P&amp;L'!AU23+'Consolidated P&amp;L'!AV23+'Consolidated P&amp;L'!AW23+'Consolidated P&amp;L'!AX23+'Consolidated P&amp;L'!AY23+'Consolidated P&amp;L'!AZ23+'Consolidated P&amp;L'!BA23+'Consolidated P&amp;L'!BB23+'Consolidated P&amp;L'!BC23+'Consolidated P&amp;L'!BD23+'Consolidated P&amp;L'!BE23)*12/12+Assumptions!H55)*Assumptions!B8)-BE5)),0)</f>
        <v/>
      </c>
      <c r="BF11" s="156">
        <f>IF(AND(Assumptions!B55&lt;&gt;"",IFERROR(DATEVALUE(TEXT(Assumptions!B55,"MM/DD/YYYY")),0)&gt;=DATE(2031,5,1),IFERROR(DATEVALUE(TEXT(Assumptions!B55,"MM/DD/YYYY")),0)&lt;=DATE(2031,5,31)),MIN(Assumptions!G55,MAX(0,((('Consolidated P&amp;L'!AU23+'Consolidated P&amp;L'!AV23+'Consolidated P&amp;L'!AW23+'Consolidated P&amp;L'!AX23+'Consolidated P&amp;L'!AY23+'Consolidated P&amp;L'!AZ23+'Consolidated P&amp;L'!BA23+'Consolidated P&amp;L'!BB23+'Consolidated P&amp;L'!BC23+'Consolidated P&amp;L'!BD23+'Consolidated P&amp;L'!BE23+'Consolidated P&amp;L'!BF23)*12/12+Assumptions!H55)*Assumptions!B8)-BF5)),0)</f>
        <v/>
      </c>
      <c r="BG11" s="156">
        <f>IF(AND(Assumptions!B55&lt;&gt;"",IFERROR(DATEVALUE(TEXT(Assumptions!B55,"MM/DD/YYYY")),0)&gt;=DATE(2031,6,1),IFERROR(DATEVALUE(TEXT(Assumptions!B55,"MM/DD/YYYY")),0)&lt;=DATE(2031,6,30)),MIN(Assumptions!G55,MAX(0,((('Consolidated P&amp;L'!AV23+'Consolidated P&amp;L'!AW23+'Consolidated P&amp;L'!AX23+'Consolidated P&amp;L'!AY23+'Consolidated P&amp;L'!AZ23+'Consolidated P&amp;L'!BA23+'Consolidated P&amp;L'!BB23+'Consolidated P&amp;L'!BC23+'Consolidated P&amp;L'!BD23+'Consolidated P&amp;L'!BE23+'Consolidated P&amp;L'!BF23+'Consolidated P&amp;L'!BG23)*12/12+Assumptions!H55)*Assumptions!B8)-BG5)),0)</f>
        <v/>
      </c>
      <c r="BH11" s="156">
        <f>IF(AND(Assumptions!B55&lt;&gt;"",IFERROR(DATEVALUE(TEXT(Assumptions!B55,"MM/DD/YYYY")),0)&gt;=DATE(2031,7,1),IFERROR(DATEVALUE(TEXT(Assumptions!B55,"MM/DD/YYYY")),0)&lt;=DATE(2031,7,31)),MIN(Assumptions!G55,MAX(0,((('Consolidated P&amp;L'!AW23+'Consolidated P&amp;L'!AX23+'Consolidated P&amp;L'!AY23+'Consolidated P&amp;L'!AZ23+'Consolidated P&amp;L'!BA23+'Consolidated P&amp;L'!BB23+'Consolidated P&amp;L'!BC23+'Consolidated P&amp;L'!BD23+'Consolidated P&amp;L'!BE23+'Consolidated P&amp;L'!BF23+'Consolidated P&amp;L'!BG23+'Consolidated P&amp;L'!BH23)*12/12+Assumptions!H55)*Assumptions!B8)-BH5)),0)</f>
        <v/>
      </c>
      <c r="BI11" s="156">
        <f>IF(AND(Assumptions!B55&lt;&gt;"",IFERROR(DATEVALUE(TEXT(Assumptions!B55,"MM/DD/YYYY")),0)&gt;=DATE(2031,8,1),IFERROR(DATEVALUE(TEXT(Assumptions!B55,"MM/DD/YYYY")),0)&lt;=DATE(2031,8,31)),MIN(Assumptions!G55,MAX(0,((('Consolidated P&amp;L'!AX23+'Consolidated P&amp;L'!AY23+'Consolidated P&amp;L'!AZ23+'Consolidated P&amp;L'!BA23+'Consolidated P&amp;L'!BB23+'Consolidated P&amp;L'!BC23+'Consolidated P&amp;L'!BD23+'Consolidated P&amp;L'!BE23+'Consolidated P&amp;L'!BF23+'Consolidated P&amp;L'!BG23+'Consolidated P&amp;L'!BH23+'Consolidated P&amp;L'!BI23)*12/12+Assumptions!H55)*Assumptions!B8)-BI5)),0)</f>
        <v/>
      </c>
      <c r="BJ11" s="156">
        <f>IF(AND(Assumptions!B55&lt;&gt;"",IFERROR(DATEVALUE(TEXT(Assumptions!B55,"MM/DD/YYYY")),0)&gt;=DATE(2031,9,1),IFERROR(DATEVALUE(TEXT(Assumptions!B55,"MM/DD/YYYY")),0)&lt;=DATE(2031,9,30)),MIN(Assumptions!G55,MAX(0,((('Consolidated P&amp;L'!AY23+'Consolidated P&amp;L'!AZ23+'Consolidated P&amp;L'!BA23+'Consolidated P&amp;L'!BB23+'Consolidated P&amp;L'!BC23+'Consolidated P&amp;L'!BD23+'Consolidated P&amp;L'!BE23+'Consolidated P&amp;L'!BF23+'Consolidated P&amp;L'!BG23+'Consolidated P&amp;L'!BH23+'Consolidated P&amp;L'!BI23+'Consolidated P&amp;L'!BJ23)*12/12+Assumptions!H55)*Assumptions!B8)-BJ5)),0)</f>
        <v/>
      </c>
      <c r="BL11" s="157">
        <f>C11+D11+E11+F11+G11+H11+I11+J11+K11+L11+M11+N11</f>
        <v/>
      </c>
      <c r="BM11" s="157">
        <f>O11+P11+Q11+R11+S11+T11+U11+V11+W11+X11+Y11+Z11</f>
        <v/>
      </c>
      <c r="BN11" s="157">
        <f>AA11+AB11+AC11+AD11+AE11+AF11+AG11+AH11+AI11+AJ11+AK11+AL11</f>
        <v/>
      </c>
      <c r="BO11" s="157">
        <f>AM11+AN11+AO11+AP11+AQ11+AR11+AS11+AT11+AU11+AV11+AW11+AX11</f>
        <v/>
      </c>
      <c r="BP11" s="157">
        <f>AY11+AZ11+BA11+BB11+BC11+BD11+BE11+BF11+BG11+BH11+BI11+BJ11</f>
        <v/>
      </c>
    </row>
    <row r="12" ht="15" customHeight="1" s="104">
      <c r="A12" s="107" t="inlineStr">
        <is>
          <t xml:space="preserve">    Add-On 6 Debt Draw</t>
        </is>
      </c>
      <c r="C12" s="156">
        <f>IF(AND(Assumptions!B56&lt;&gt;"",IFERROR(DATEVALUE(TEXT(Assumptions!B56,"MM/DD/YYYY")),0)&gt;=DATE(2026,10,1),IFERROR(DATEVALUE(TEXT(Assumptions!B56,"MM/DD/YYYY")),0)&lt;=DATE(2026,10,31)),MIN(Assumptions!G56,MAX(0,((('Consolidated P&amp;L'!C23)*12/1+Assumptions!H56)*Assumptions!B8)-C5)),0)</f>
        <v/>
      </c>
      <c r="D12" s="156">
        <f>IF(AND(Assumptions!B56&lt;&gt;"",IFERROR(DATEVALUE(TEXT(Assumptions!B56,"MM/DD/YYYY")),0)&gt;=DATE(2026,11,1),IFERROR(DATEVALUE(TEXT(Assumptions!B56,"MM/DD/YYYY")),0)&lt;=DATE(2026,11,30)),MIN(Assumptions!G56,MAX(0,((('Consolidated P&amp;L'!C23+'Consolidated P&amp;L'!D23)*12/2+Assumptions!H56)*Assumptions!B8)-D5)),0)</f>
        <v/>
      </c>
      <c r="E12" s="156">
        <f>IF(AND(Assumptions!B56&lt;&gt;"",IFERROR(DATEVALUE(TEXT(Assumptions!B56,"MM/DD/YYYY")),0)&gt;=DATE(2026,12,1),IFERROR(DATEVALUE(TEXT(Assumptions!B56,"MM/DD/YYYY")),0)&lt;=DATE(2026,12,31)),MIN(Assumptions!G56,MAX(0,((('Consolidated P&amp;L'!C23+'Consolidated P&amp;L'!D23+'Consolidated P&amp;L'!E23)*12/3+Assumptions!H56)*Assumptions!B8)-E5)),0)</f>
        <v/>
      </c>
      <c r="F12" s="156">
        <f>IF(AND(Assumptions!B56&lt;&gt;"",IFERROR(DATEVALUE(TEXT(Assumptions!B56,"MM/DD/YYYY")),0)&gt;=DATE(2027,1,1),IFERROR(DATEVALUE(TEXT(Assumptions!B56,"MM/DD/YYYY")),0)&lt;=DATE(2027,1,31)),MIN(Assumptions!G56,MAX(0,((('Consolidated P&amp;L'!C23+'Consolidated P&amp;L'!D23+'Consolidated P&amp;L'!E23+'Consolidated P&amp;L'!F23)*12/4+Assumptions!H56)*Assumptions!B8)-F5)),0)</f>
        <v/>
      </c>
      <c r="G12" s="156">
        <f>IF(AND(Assumptions!B56&lt;&gt;"",IFERROR(DATEVALUE(TEXT(Assumptions!B56,"MM/DD/YYYY")),0)&gt;=DATE(2027,2,1),IFERROR(DATEVALUE(TEXT(Assumptions!B56,"MM/DD/YYYY")),0)&lt;=DATE(2027,2,28)),MIN(Assumptions!G56,MAX(0,((('Consolidated P&amp;L'!C23+'Consolidated P&amp;L'!D23+'Consolidated P&amp;L'!E23+'Consolidated P&amp;L'!F23+'Consolidated P&amp;L'!G23)*12/5+Assumptions!H56)*Assumptions!B8)-G5)),0)</f>
        <v/>
      </c>
      <c r="H12" s="156">
        <f>IF(AND(Assumptions!B56&lt;&gt;"",IFERROR(DATEVALUE(TEXT(Assumptions!B56,"MM/DD/YYYY")),0)&gt;=DATE(2027,3,1),IFERROR(DATEVALUE(TEXT(Assumptions!B56,"MM/DD/YYYY")),0)&lt;=DATE(2027,3,31)),MIN(Assumptions!G56,MAX(0,((('Consolidated P&amp;L'!C23+'Consolidated P&amp;L'!D23+'Consolidated P&amp;L'!E23+'Consolidated P&amp;L'!F23+'Consolidated P&amp;L'!G23+'Consolidated P&amp;L'!H23)*12/6+Assumptions!H56)*Assumptions!B8)-H5)),0)</f>
        <v/>
      </c>
      <c r="I12" s="156">
        <f>IF(AND(Assumptions!B56&lt;&gt;"",IFERROR(DATEVALUE(TEXT(Assumptions!B56,"MM/DD/YYYY")),0)&gt;=DATE(2027,4,1),IFERROR(DATEVALUE(TEXT(Assumptions!B56,"MM/DD/YYYY")),0)&lt;=DATE(2027,4,30)),MIN(Assumptions!G56,MAX(0,((('Consolidated P&amp;L'!C23+'Consolidated P&amp;L'!D23+'Consolidated P&amp;L'!E23+'Consolidated P&amp;L'!F23+'Consolidated P&amp;L'!G23+'Consolidated P&amp;L'!H23+'Consolidated P&amp;L'!I23)*12/7+Assumptions!H56)*Assumptions!B8)-I5)),0)</f>
        <v/>
      </c>
      <c r="J12" s="156">
        <f>IF(AND(Assumptions!B56&lt;&gt;"",IFERROR(DATEVALUE(TEXT(Assumptions!B56,"MM/DD/YYYY")),0)&gt;=DATE(2027,5,1),IFERROR(DATEVALUE(TEXT(Assumptions!B56,"MM/DD/YYYY")),0)&lt;=DATE(2027,5,31)),MIN(Assumptions!G56,MAX(0,((('Consolidated P&amp;L'!C23+'Consolidated P&amp;L'!D23+'Consolidated P&amp;L'!E23+'Consolidated P&amp;L'!F23+'Consolidated P&amp;L'!G23+'Consolidated P&amp;L'!H23+'Consolidated P&amp;L'!I23+'Consolidated P&amp;L'!J23)*12/8+Assumptions!H56)*Assumptions!B8)-J5)),0)</f>
        <v/>
      </c>
      <c r="K12" s="156">
        <f>IF(AND(Assumptions!B56&lt;&gt;"",IFERROR(DATEVALUE(TEXT(Assumptions!B56,"MM/DD/YYYY")),0)&gt;=DATE(2027,6,1),IFERROR(DATEVALUE(TEXT(Assumptions!B56,"MM/DD/YYYY")),0)&lt;=DATE(2027,6,30)),MIN(Assumptions!G56,MAX(0,((('Consolidated P&amp;L'!C23+'Consolidated P&amp;L'!D23+'Consolidated P&amp;L'!E23+'Consolidated P&amp;L'!F23+'Consolidated P&amp;L'!G23+'Consolidated P&amp;L'!H23+'Consolidated P&amp;L'!I23+'Consolidated P&amp;L'!J23+'Consolidated P&amp;L'!K23)*12/9+Assumptions!H56)*Assumptions!B8)-K5)),0)</f>
        <v/>
      </c>
      <c r="L12" s="156">
        <f>IF(AND(Assumptions!B56&lt;&gt;"",IFERROR(DATEVALUE(TEXT(Assumptions!B56,"MM/DD/YYYY")),0)&gt;=DATE(2027,7,1),IFERROR(DATEVALUE(TEXT(Assumptions!B56,"MM/DD/YYYY")),0)&lt;=DATE(2027,7,31)),MIN(Assumptions!G56,MAX(0,((('Consolidated P&amp;L'!C23+'Consolidated P&amp;L'!D23+'Consolidated P&amp;L'!E23+'Consolidated P&amp;L'!F23+'Consolidated P&amp;L'!G23+'Consolidated P&amp;L'!H23+'Consolidated P&amp;L'!I23+'Consolidated P&amp;L'!J23+'Consolidated P&amp;L'!K23+'Consolidated P&amp;L'!L23)*12/10+Assumptions!H56)*Assumptions!B8)-L5)),0)</f>
        <v/>
      </c>
      <c r="M12" s="156">
        <f>IF(AND(Assumptions!B56&lt;&gt;"",IFERROR(DATEVALUE(TEXT(Assumptions!B56,"MM/DD/YYYY")),0)&gt;=DATE(2027,8,1),IFERROR(DATEVALUE(TEXT(Assumptions!B56,"MM/DD/YYYY")),0)&lt;=DATE(2027,8,31)),MIN(Assumptions!G56,MAX(0,((('Consolidated P&amp;L'!C23+'Consolidated P&amp;L'!D23+'Consolidated P&amp;L'!E23+'Consolidated P&amp;L'!F23+'Consolidated P&amp;L'!G23+'Consolidated P&amp;L'!H23+'Consolidated P&amp;L'!I23+'Consolidated P&amp;L'!J23+'Consolidated P&amp;L'!K23+'Consolidated P&amp;L'!L23+'Consolidated P&amp;L'!M23)*12/11+Assumptions!H56)*Assumptions!B8)-M5)),0)</f>
        <v/>
      </c>
      <c r="N12" s="156">
        <f>IF(AND(Assumptions!B56&lt;&gt;"",IFERROR(DATEVALUE(TEXT(Assumptions!B56,"MM/DD/YYYY")),0)&gt;=DATE(2027,9,1),IFERROR(DATEVALUE(TEXT(Assumptions!B56,"MM/DD/YYYY")),0)&lt;=DATE(2027,9,30)),MIN(Assumptions!G56,MAX(0,((('Consolidated P&amp;L'!C23+'Consolidated P&amp;L'!D23+'Consolidated P&amp;L'!E23+'Consolidated P&amp;L'!F23+'Consolidated P&amp;L'!G23+'Consolidated P&amp;L'!H23+'Consolidated P&amp;L'!I23+'Consolidated P&amp;L'!J23+'Consolidated P&amp;L'!K23+'Consolidated P&amp;L'!L23+'Consolidated P&amp;L'!M23+'Consolidated P&amp;L'!N23)*12/12+Assumptions!H56)*Assumptions!B8)-N5)),0)</f>
        <v/>
      </c>
      <c r="O12" s="156">
        <f>IF(AND(Assumptions!B56&lt;&gt;"",IFERROR(DATEVALUE(TEXT(Assumptions!B56,"MM/DD/YYYY")),0)&gt;=DATE(2027,10,1),IFERROR(DATEVALUE(TEXT(Assumptions!B56,"MM/DD/YYYY")),0)&lt;=DATE(2027,10,31)),MIN(Assumptions!G56,MAX(0,((('Consolidated P&amp;L'!D23+'Consolidated P&amp;L'!E23+'Consolidated P&amp;L'!F23+'Consolidated P&amp;L'!G23+'Consolidated P&amp;L'!H23+'Consolidated P&amp;L'!I23+'Consolidated P&amp;L'!J23+'Consolidated P&amp;L'!K23+'Consolidated P&amp;L'!L23+'Consolidated P&amp;L'!M23+'Consolidated P&amp;L'!N23+'Consolidated P&amp;L'!O23)*12/12+Assumptions!H56)*Assumptions!B8)-O5)),0)</f>
        <v/>
      </c>
      <c r="P12" s="156">
        <f>IF(AND(Assumptions!B56&lt;&gt;"",IFERROR(DATEVALUE(TEXT(Assumptions!B56,"MM/DD/YYYY")),0)&gt;=DATE(2027,11,1),IFERROR(DATEVALUE(TEXT(Assumptions!B56,"MM/DD/YYYY")),0)&lt;=DATE(2027,11,30)),MIN(Assumptions!G56,MAX(0,((('Consolidated P&amp;L'!E23+'Consolidated P&amp;L'!F23+'Consolidated P&amp;L'!G23+'Consolidated P&amp;L'!H23+'Consolidated P&amp;L'!I23+'Consolidated P&amp;L'!J23+'Consolidated P&amp;L'!K23+'Consolidated P&amp;L'!L23+'Consolidated P&amp;L'!M23+'Consolidated P&amp;L'!N23+'Consolidated P&amp;L'!O23+'Consolidated P&amp;L'!P23)*12/12+Assumptions!H56)*Assumptions!B8)-P5)),0)</f>
        <v/>
      </c>
      <c r="Q12" s="156">
        <f>IF(AND(Assumptions!B56&lt;&gt;"",IFERROR(DATEVALUE(TEXT(Assumptions!B56,"MM/DD/YYYY")),0)&gt;=DATE(2027,12,1),IFERROR(DATEVALUE(TEXT(Assumptions!B56,"MM/DD/YYYY")),0)&lt;=DATE(2027,12,31)),MIN(Assumptions!G56,MAX(0,((('Consolidated P&amp;L'!F23+'Consolidated P&amp;L'!G23+'Consolidated P&amp;L'!H23+'Consolidated P&amp;L'!I23+'Consolidated P&amp;L'!J23+'Consolidated P&amp;L'!K23+'Consolidated P&amp;L'!L23+'Consolidated P&amp;L'!M23+'Consolidated P&amp;L'!N23+'Consolidated P&amp;L'!O23+'Consolidated P&amp;L'!P23+'Consolidated P&amp;L'!Q23)*12/12+Assumptions!H56)*Assumptions!B8)-Q5)),0)</f>
        <v/>
      </c>
      <c r="R12" s="156">
        <f>IF(AND(Assumptions!B56&lt;&gt;"",IFERROR(DATEVALUE(TEXT(Assumptions!B56,"MM/DD/YYYY")),0)&gt;=DATE(2028,1,1),IFERROR(DATEVALUE(TEXT(Assumptions!B56,"MM/DD/YYYY")),0)&lt;=DATE(2028,1,31)),MIN(Assumptions!G56,MAX(0,((('Consolidated P&amp;L'!G23+'Consolidated P&amp;L'!H23+'Consolidated P&amp;L'!I23+'Consolidated P&amp;L'!J23+'Consolidated P&amp;L'!K23+'Consolidated P&amp;L'!L23+'Consolidated P&amp;L'!M23+'Consolidated P&amp;L'!N23+'Consolidated P&amp;L'!O23+'Consolidated P&amp;L'!P23+'Consolidated P&amp;L'!Q23+'Consolidated P&amp;L'!R23)*12/12+Assumptions!H56)*Assumptions!B8)-R5)),0)</f>
        <v/>
      </c>
      <c r="S12" s="156">
        <f>IF(AND(Assumptions!B56&lt;&gt;"",IFERROR(DATEVALUE(TEXT(Assumptions!B56,"MM/DD/YYYY")),0)&gt;=DATE(2028,2,1),IFERROR(DATEVALUE(TEXT(Assumptions!B56,"MM/DD/YYYY")),0)&lt;=DATE(2028,2,29)),MIN(Assumptions!G56,MAX(0,((('Consolidated P&amp;L'!H23+'Consolidated P&amp;L'!I23+'Consolidated P&amp;L'!J23+'Consolidated P&amp;L'!K23+'Consolidated P&amp;L'!L23+'Consolidated P&amp;L'!M23+'Consolidated P&amp;L'!N23+'Consolidated P&amp;L'!O23+'Consolidated P&amp;L'!P23+'Consolidated P&amp;L'!Q23+'Consolidated P&amp;L'!R23+'Consolidated P&amp;L'!S23)*12/12+Assumptions!H56)*Assumptions!B8)-S5)),0)</f>
        <v/>
      </c>
      <c r="T12" s="156">
        <f>IF(AND(Assumptions!B56&lt;&gt;"",IFERROR(DATEVALUE(TEXT(Assumptions!B56,"MM/DD/YYYY")),0)&gt;=DATE(2028,3,1),IFERROR(DATEVALUE(TEXT(Assumptions!B56,"MM/DD/YYYY")),0)&lt;=DATE(2028,3,31)),MIN(Assumptions!G56,MAX(0,((('Consolidated P&amp;L'!I23+'Consolidated P&amp;L'!J23+'Consolidated P&amp;L'!K23+'Consolidated P&amp;L'!L23+'Consolidated P&amp;L'!M23+'Consolidated P&amp;L'!N23+'Consolidated P&amp;L'!O23+'Consolidated P&amp;L'!P23+'Consolidated P&amp;L'!Q23+'Consolidated P&amp;L'!R23+'Consolidated P&amp;L'!S23+'Consolidated P&amp;L'!T23)*12/12+Assumptions!H56)*Assumptions!B8)-T5)),0)</f>
        <v/>
      </c>
      <c r="U12" s="156">
        <f>IF(AND(Assumptions!B56&lt;&gt;"",IFERROR(DATEVALUE(TEXT(Assumptions!B56,"MM/DD/YYYY")),0)&gt;=DATE(2028,4,1),IFERROR(DATEVALUE(TEXT(Assumptions!B56,"MM/DD/YYYY")),0)&lt;=DATE(2028,4,30)),MIN(Assumptions!G56,MAX(0,((('Consolidated P&amp;L'!J23+'Consolidated P&amp;L'!K23+'Consolidated P&amp;L'!L23+'Consolidated P&amp;L'!M23+'Consolidated P&amp;L'!N23+'Consolidated P&amp;L'!O23+'Consolidated P&amp;L'!P23+'Consolidated P&amp;L'!Q23+'Consolidated P&amp;L'!R23+'Consolidated P&amp;L'!S23+'Consolidated P&amp;L'!T23+'Consolidated P&amp;L'!U23)*12/12+Assumptions!H56)*Assumptions!B8)-U5)),0)</f>
        <v/>
      </c>
      <c r="V12" s="156">
        <f>IF(AND(Assumptions!B56&lt;&gt;"",IFERROR(DATEVALUE(TEXT(Assumptions!B56,"MM/DD/YYYY")),0)&gt;=DATE(2028,5,1),IFERROR(DATEVALUE(TEXT(Assumptions!B56,"MM/DD/YYYY")),0)&lt;=DATE(2028,5,31)),MIN(Assumptions!G56,MAX(0,((('Consolidated P&amp;L'!K23+'Consolidated P&amp;L'!L23+'Consolidated P&amp;L'!M23+'Consolidated P&amp;L'!N23+'Consolidated P&amp;L'!O23+'Consolidated P&amp;L'!P23+'Consolidated P&amp;L'!Q23+'Consolidated P&amp;L'!R23+'Consolidated P&amp;L'!S23+'Consolidated P&amp;L'!T23+'Consolidated P&amp;L'!U23+'Consolidated P&amp;L'!V23)*12/12+Assumptions!H56)*Assumptions!B8)-V5)),0)</f>
        <v/>
      </c>
      <c r="W12" s="156">
        <f>IF(AND(Assumptions!B56&lt;&gt;"",IFERROR(DATEVALUE(TEXT(Assumptions!B56,"MM/DD/YYYY")),0)&gt;=DATE(2028,6,1),IFERROR(DATEVALUE(TEXT(Assumptions!B56,"MM/DD/YYYY")),0)&lt;=DATE(2028,6,30)),MIN(Assumptions!G56,MAX(0,((('Consolidated P&amp;L'!L23+'Consolidated P&amp;L'!M23+'Consolidated P&amp;L'!N23+'Consolidated P&amp;L'!O23+'Consolidated P&amp;L'!P23+'Consolidated P&amp;L'!Q23+'Consolidated P&amp;L'!R23+'Consolidated P&amp;L'!S23+'Consolidated P&amp;L'!T23+'Consolidated P&amp;L'!U23+'Consolidated P&amp;L'!V23+'Consolidated P&amp;L'!W23)*12/12+Assumptions!H56)*Assumptions!B8)-W5)),0)</f>
        <v/>
      </c>
      <c r="X12" s="156">
        <f>IF(AND(Assumptions!B56&lt;&gt;"",IFERROR(DATEVALUE(TEXT(Assumptions!B56,"MM/DD/YYYY")),0)&gt;=DATE(2028,7,1),IFERROR(DATEVALUE(TEXT(Assumptions!B56,"MM/DD/YYYY")),0)&lt;=DATE(2028,7,31)),MIN(Assumptions!G56,MAX(0,((('Consolidated P&amp;L'!M23+'Consolidated P&amp;L'!N23+'Consolidated P&amp;L'!O23+'Consolidated P&amp;L'!P23+'Consolidated P&amp;L'!Q23+'Consolidated P&amp;L'!R23+'Consolidated P&amp;L'!S23+'Consolidated P&amp;L'!T23+'Consolidated P&amp;L'!U23+'Consolidated P&amp;L'!V23+'Consolidated P&amp;L'!W23+'Consolidated P&amp;L'!X23)*12/12+Assumptions!H56)*Assumptions!B8)-X5)),0)</f>
        <v/>
      </c>
      <c r="Y12" s="156">
        <f>IF(AND(Assumptions!B56&lt;&gt;"",IFERROR(DATEVALUE(TEXT(Assumptions!B56,"MM/DD/YYYY")),0)&gt;=DATE(2028,8,1),IFERROR(DATEVALUE(TEXT(Assumptions!B56,"MM/DD/YYYY")),0)&lt;=DATE(2028,8,31)),MIN(Assumptions!G56,MAX(0,((('Consolidated P&amp;L'!N23+'Consolidated P&amp;L'!O23+'Consolidated P&amp;L'!P23+'Consolidated P&amp;L'!Q23+'Consolidated P&amp;L'!R23+'Consolidated P&amp;L'!S23+'Consolidated P&amp;L'!T23+'Consolidated P&amp;L'!U23+'Consolidated P&amp;L'!V23+'Consolidated P&amp;L'!W23+'Consolidated P&amp;L'!X23+'Consolidated P&amp;L'!Y23)*12/12+Assumptions!H56)*Assumptions!B8)-Y5)),0)</f>
        <v/>
      </c>
      <c r="Z12" s="156">
        <f>IF(AND(Assumptions!B56&lt;&gt;"",IFERROR(DATEVALUE(TEXT(Assumptions!B56,"MM/DD/YYYY")),0)&gt;=DATE(2028,9,1),IFERROR(DATEVALUE(TEXT(Assumptions!B56,"MM/DD/YYYY")),0)&lt;=DATE(2028,9,30)),MIN(Assumptions!G56,MAX(0,((('Consolidated P&amp;L'!O23+'Consolidated P&amp;L'!P23+'Consolidated P&amp;L'!Q23+'Consolidated P&amp;L'!R23+'Consolidated P&amp;L'!S23+'Consolidated P&amp;L'!T23+'Consolidated P&amp;L'!U23+'Consolidated P&amp;L'!V23+'Consolidated P&amp;L'!W23+'Consolidated P&amp;L'!X23+'Consolidated P&amp;L'!Y23+'Consolidated P&amp;L'!Z23)*12/12+Assumptions!H56)*Assumptions!B8)-Z5)),0)</f>
        <v/>
      </c>
      <c r="AA12" s="156">
        <f>IF(AND(Assumptions!B56&lt;&gt;"",IFERROR(DATEVALUE(TEXT(Assumptions!B56,"MM/DD/YYYY")),0)&gt;=DATE(2028,10,1),IFERROR(DATEVALUE(TEXT(Assumptions!B56,"MM/DD/YYYY")),0)&lt;=DATE(2028,10,31)),MIN(Assumptions!G56,MAX(0,((('Consolidated P&amp;L'!P23+'Consolidated P&amp;L'!Q23+'Consolidated P&amp;L'!R23+'Consolidated P&amp;L'!S23+'Consolidated P&amp;L'!T23+'Consolidated P&amp;L'!U23+'Consolidated P&amp;L'!V23+'Consolidated P&amp;L'!W23+'Consolidated P&amp;L'!X23+'Consolidated P&amp;L'!Y23+'Consolidated P&amp;L'!Z23+'Consolidated P&amp;L'!AA23)*12/12+Assumptions!H56)*Assumptions!B8)-AA5)),0)</f>
        <v/>
      </c>
      <c r="AB12" s="156">
        <f>IF(AND(Assumptions!B56&lt;&gt;"",IFERROR(DATEVALUE(TEXT(Assumptions!B56,"MM/DD/YYYY")),0)&gt;=DATE(2028,11,1),IFERROR(DATEVALUE(TEXT(Assumptions!B56,"MM/DD/YYYY")),0)&lt;=DATE(2028,11,30)),MIN(Assumptions!G56,MAX(0,((('Consolidated P&amp;L'!Q23+'Consolidated P&amp;L'!R23+'Consolidated P&amp;L'!S23+'Consolidated P&amp;L'!T23+'Consolidated P&amp;L'!U23+'Consolidated P&amp;L'!V23+'Consolidated P&amp;L'!W23+'Consolidated P&amp;L'!X23+'Consolidated P&amp;L'!Y23+'Consolidated P&amp;L'!Z23+'Consolidated P&amp;L'!AA23+'Consolidated P&amp;L'!AB23)*12/12+Assumptions!H56)*Assumptions!B8)-AB5)),0)</f>
        <v/>
      </c>
      <c r="AC12" s="156">
        <f>IF(AND(Assumptions!B56&lt;&gt;"",IFERROR(DATEVALUE(TEXT(Assumptions!B56,"MM/DD/YYYY")),0)&gt;=DATE(2028,12,1),IFERROR(DATEVALUE(TEXT(Assumptions!B56,"MM/DD/YYYY")),0)&lt;=DATE(2028,12,31)),MIN(Assumptions!G56,MAX(0,((('Consolidated P&amp;L'!R23+'Consolidated P&amp;L'!S23+'Consolidated P&amp;L'!T23+'Consolidated P&amp;L'!U23+'Consolidated P&amp;L'!V23+'Consolidated P&amp;L'!W23+'Consolidated P&amp;L'!X23+'Consolidated P&amp;L'!Y23+'Consolidated P&amp;L'!Z23+'Consolidated P&amp;L'!AA23+'Consolidated P&amp;L'!AB23+'Consolidated P&amp;L'!AC23)*12/12+Assumptions!H56)*Assumptions!B8)-AC5)),0)</f>
        <v/>
      </c>
      <c r="AD12" s="156">
        <f>IF(AND(Assumptions!B56&lt;&gt;"",IFERROR(DATEVALUE(TEXT(Assumptions!B56,"MM/DD/YYYY")),0)&gt;=DATE(2029,1,1),IFERROR(DATEVALUE(TEXT(Assumptions!B56,"MM/DD/YYYY")),0)&lt;=DATE(2029,1,31)),MIN(Assumptions!G56,MAX(0,((('Consolidated P&amp;L'!S23+'Consolidated P&amp;L'!T23+'Consolidated P&amp;L'!U23+'Consolidated P&amp;L'!V23+'Consolidated P&amp;L'!W23+'Consolidated P&amp;L'!X23+'Consolidated P&amp;L'!Y23+'Consolidated P&amp;L'!Z23+'Consolidated P&amp;L'!AA23+'Consolidated P&amp;L'!AB23+'Consolidated P&amp;L'!AC23+'Consolidated P&amp;L'!AD23)*12/12+Assumptions!H56)*Assumptions!B8)-AD5)),0)</f>
        <v/>
      </c>
      <c r="AE12" s="156">
        <f>IF(AND(Assumptions!B56&lt;&gt;"",IFERROR(DATEVALUE(TEXT(Assumptions!B56,"MM/DD/YYYY")),0)&gt;=DATE(2029,2,1),IFERROR(DATEVALUE(TEXT(Assumptions!B56,"MM/DD/YYYY")),0)&lt;=DATE(2029,2,28)),MIN(Assumptions!G56,MAX(0,((('Consolidated P&amp;L'!T23+'Consolidated P&amp;L'!U23+'Consolidated P&amp;L'!V23+'Consolidated P&amp;L'!W23+'Consolidated P&amp;L'!X23+'Consolidated P&amp;L'!Y23+'Consolidated P&amp;L'!Z23+'Consolidated P&amp;L'!AA23+'Consolidated P&amp;L'!AB23+'Consolidated P&amp;L'!AC23+'Consolidated P&amp;L'!AD23+'Consolidated P&amp;L'!AE23)*12/12+Assumptions!H56)*Assumptions!B8)-AE5)),0)</f>
        <v/>
      </c>
      <c r="AF12" s="156">
        <f>IF(AND(Assumptions!B56&lt;&gt;"",IFERROR(DATEVALUE(TEXT(Assumptions!B56,"MM/DD/YYYY")),0)&gt;=DATE(2029,3,1),IFERROR(DATEVALUE(TEXT(Assumptions!B56,"MM/DD/YYYY")),0)&lt;=DATE(2029,3,31)),MIN(Assumptions!G56,MAX(0,((('Consolidated P&amp;L'!U23+'Consolidated P&amp;L'!V23+'Consolidated P&amp;L'!W23+'Consolidated P&amp;L'!X23+'Consolidated P&amp;L'!Y23+'Consolidated P&amp;L'!Z23+'Consolidated P&amp;L'!AA23+'Consolidated P&amp;L'!AB23+'Consolidated P&amp;L'!AC23+'Consolidated P&amp;L'!AD23+'Consolidated P&amp;L'!AE23+'Consolidated P&amp;L'!AF23)*12/12+Assumptions!H56)*Assumptions!B8)-AF5)),0)</f>
        <v/>
      </c>
      <c r="AG12" s="156">
        <f>IF(AND(Assumptions!B56&lt;&gt;"",IFERROR(DATEVALUE(TEXT(Assumptions!B56,"MM/DD/YYYY")),0)&gt;=DATE(2029,4,1),IFERROR(DATEVALUE(TEXT(Assumptions!B56,"MM/DD/YYYY")),0)&lt;=DATE(2029,4,30)),MIN(Assumptions!G56,MAX(0,((('Consolidated P&amp;L'!V23+'Consolidated P&amp;L'!W23+'Consolidated P&amp;L'!X23+'Consolidated P&amp;L'!Y23+'Consolidated P&amp;L'!Z23+'Consolidated P&amp;L'!AA23+'Consolidated P&amp;L'!AB23+'Consolidated P&amp;L'!AC23+'Consolidated P&amp;L'!AD23+'Consolidated P&amp;L'!AE23+'Consolidated P&amp;L'!AF23+'Consolidated P&amp;L'!AG23)*12/12+Assumptions!H56)*Assumptions!B8)-AG5)),0)</f>
        <v/>
      </c>
      <c r="AH12" s="156">
        <f>IF(AND(Assumptions!B56&lt;&gt;"",IFERROR(DATEVALUE(TEXT(Assumptions!B56,"MM/DD/YYYY")),0)&gt;=DATE(2029,5,1),IFERROR(DATEVALUE(TEXT(Assumptions!B56,"MM/DD/YYYY")),0)&lt;=DATE(2029,5,31)),MIN(Assumptions!G56,MAX(0,((('Consolidated P&amp;L'!W23+'Consolidated P&amp;L'!X23+'Consolidated P&amp;L'!Y23+'Consolidated P&amp;L'!Z23+'Consolidated P&amp;L'!AA23+'Consolidated P&amp;L'!AB23+'Consolidated P&amp;L'!AC23+'Consolidated P&amp;L'!AD23+'Consolidated P&amp;L'!AE23+'Consolidated P&amp;L'!AF23+'Consolidated P&amp;L'!AG23+'Consolidated P&amp;L'!AH23)*12/12+Assumptions!H56)*Assumptions!B8)-AH5)),0)</f>
        <v/>
      </c>
      <c r="AI12" s="156">
        <f>IF(AND(Assumptions!B56&lt;&gt;"",IFERROR(DATEVALUE(TEXT(Assumptions!B56,"MM/DD/YYYY")),0)&gt;=DATE(2029,6,1),IFERROR(DATEVALUE(TEXT(Assumptions!B56,"MM/DD/YYYY")),0)&lt;=DATE(2029,6,30)),MIN(Assumptions!G56,MAX(0,((('Consolidated P&amp;L'!X23+'Consolidated P&amp;L'!Y23+'Consolidated P&amp;L'!Z23+'Consolidated P&amp;L'!AA23+'Consolidated P&amp;L'!AB23+'Consolidated P&amp;L'!AC23+'Consolidated P&amp;L'!AD23+'Consolidated P&amp;L'!AE23+'Consolidated P&amp;L'!AF23+'Consolidated P&amp;L'!AG23+'Consolidated P&amp;L'!AH23+'Consolidated P&amp;L'!AI23)*12/12+Assumptions!H56)*Assumptions!B8)-AI5)),0)</f>
        <v/>
      </c>
      <c r="AJ12" s="156">
        <f>IF(AND(Assumptions!B56&lt;&gt;"",IFERROR(DATEVALUE(TEXT(Assumptions!B56,"MM/DD/YYYY")),0)&gt;=DATE(2029,7,1),IFERROR(DATEVALUE(TEXT(Assumptions!B56,"MM/DD/YYYY")),0)&lt;=DATE(2029,7,31)),MIN(Assumptions!G56,MAX(0,((('Consolidated P&amp;L'!Y23+'Consolidated P&amp;L'!Z23+'Consolidated P&amp;L'!AA23+'Consolidated P&amp;L'!AB23+'Consolidated P&amp;L'!AC23+'Consolidated P&amp;L'!AD23+'Consolidated P&amp;L'!AE23+'Consolidated P&amp;L'!AF23+'Consolidated P&amp;L'!AG23+'Consolidated P&amp;L'!AH23+'Consolidated P&amp;L'!AI23+'Consolidated P&amp;L'!AJ23)*12/12+Assumptions!H56)*Assumptions!B8)-AJ5)),0)</f>
        <v/>
      </c>
      <c r="AK12" s="156">
        <f>IF(AND(Assumptions!B56&lt;&gt;"",IFERROR(DATEVALUE(TEXT(Assumptions!B56,"MM/DD/YYYY")),0)&gt;=DATE(2029,8,1),IFERROR(DATEVALUE(TEXT(Assumptions!B56,"MM/DD/YYYY")),0)&lt;=DATE(2029,8,31)),MIN(Assumptions!G56,MAX(0,((('Consolidated P&amp;L'!Z23+'Consolidated P&amp;L'!AA23+'Consolidated P&amp;L'!AB23+'Consolidated P&amp;L'!AC23+'Consolidated P&amp;L'!AD23+'Consolidated P&amp;L'!AE23+'Consolidated P&amp;L'!AF23+'Consolidated P&amp;L'!AG23+'Consolidated P&amp;L'!AH23+'Consolidated P&amp;L'!AI23+'Consolidated P&amp;L'!AJ23+'Consolidated P&amp;L'!AK23)*12/12+Assumptions!H56)*Assumptions!B8)-AK5)),0)</f>
        <v/>
      </c>
      <c r="AL12" s="156">
        <f>IF(AND(Assumptions!B56&lt;&gt;"",IFERROR(DATEVALUE(TEXT(Assumptions!B56,"MM/DD/YYYY")),0)&gt;=DATE(2029,9,1),IFERROR(DATEVALUE(TEXT(Assumptions!B56,"MM/DD/YYYY")),0)&lt;=DATE(2029,9,30)),MIN(Assumptions!G56,MAX(0,((('Consolidated P&amp;L'!AA23+'Consolidated P&amp;L'!AB23+'Consolidated P&amp;L'!AC23+'Consolidated P&amp;L'!AD23+'Consolidated P&amp;L'!AE23+'Consolidated P&amp;L'!AF23+'Consolidated P&amp;L'!AG23+'Consolidated P&amp;L'!AH23+'Consolidated P&amp;L'!AI23+'Consolidated P&amp;L'!AJ23+'Consolidated P&amp;L'!AK23+'Consolidated P&amp;L'!AL23)*12/12+Assumptions!H56)*Assumptions!B8)-AL5)),0)</f>
        <v/>
      </c>
      <c r="AM12" s="156">
        <f>IF(AND(Assumptions!B56&lt;&gt;"",IFERROR(DATEVALUE(TEXT(Assumptions!B56,"MM/DD/YYYY")),0)&gt;=DATE(2029,10,1),IFERROR(DATEVALUE(TEXT(Assumptions!B56,"MM/DD/YYYY")),0)&lt;=DATE(2029,10,31)),MIN(Assumptions!G56,MAX(0,((('Consolidated P&amp;L'!AB23+'Consolidated P&amp;L'!AC23+'Consolidated P&amp;L'!AD23+'Consolidated P&amp;L'!AE23+'Consolidated P&amp;L'!AF23+'Consolidated P&amp;L'!AG23+'Consolidated P&amp;L'!AH23+'Consolidated P&amp;L'!AI23+'Consolidated P&amp;L'!AJ23+'Consolidated P&amp;L'!AK23+'Consolidated P&amp;L'!AL23+'Consolidated P&amp;L'!AM23)*12/12+Assumptions!H56)*Assumptions!B8)-AM5)),0)</f>
        <v/>
      </c>
      <c r="AN12" s="156">
        <f>IF(AND(Assumptions!B56&lt;&gt;"",IFERROR(DATEVALUE(TEXT(Assumptions!B56,"MM/DD/YYYY")),0)&gt;=DATE(2029,11,1),IFERROR(DATEVALUE(TEXT(Assumptions!B56,"MM/DD/YYYY")),0)&lt;=DATE(2029,11,30)),MIN(Assumptions!G56,MAX(0,((('Consolidated P&amp;L'!AC23+'Consolidated P&amp;L'!AD23+'Consolidated P&amp;L'!AE23+'Consolidated P&amp;L'!AF23+'Consolidated P&amp;L'!AG23+'Consolidated P&amp;L'!AH23+'Consolidated P&amp;L'!AI23+'Consolidated P&amp;L'!AJ23+'Consolidated P&amp;L'!AK23+'Consolidated P&amp;L'!AL23+'Consolidated P&amp;L'!AM23+'Consolidated P&amp;L'!AN23)*12/12+Assumptions!H56)*Assumptions!B8)-AN5)),0)</f>
        <v/>
      </c>
      <c r="AO12" s="156">
        <f>IF(AND(Assumptions!B56&lt;&gt;"",IFERROR(DATEVALUE(TEXT(Assumptions!B56,"MM/DD/YYYY")),0)&gt;=DATE(2029,12,1),IFERROR(DATEVALUE(TEXT(Assumptions!B56,"MM/DD/YYYY")),0)&lt;=DATE(2029,12,31)),MIN(Assumptions!G56,MAX(0,((('Consolidated P&amp;L'!AD23+'Consolidated P&amp;L'!AE23+'Consolidated P&amp;L'!AF23+'Consolidated P&amp;L'!AG23+'Consolidated P&amp;L'!AH23+'Consolidated P&amp;L'!AI23+'Consolidated P&amp;L'!AJ23+'Consolidated P&amp;L'!AK23+'Consolidated P&amp;L'!AL23+'Consolidated P&amp;L'!AM23+'Consolidated P&amp;L'!AN23+'Consolidated P&amp;L'!AO23)*12/12+Assumptions!H56)*Assumptions!B8)-AO5)),0)</f>
        <v/>
      </c>
      <c r="AP12" s="156">
        <f>IF(AND(Assumptions!B56&lt;&gt;"",IFERROR(DATEVALUE(TEXT(Assumptions!B56,"MM/DD/YYYY")),0)&gt;=DATE(2030,1,1),IFERROR(DATEVALUE(TEXT(Assumptions!B56,"MM/DD/YYYY")),0)&lt;=DATE(2030,1,31)),MIN(Assumptions!G56,MAX(0,((('Consolidated P&amp;L'!AE23+'Consolidated P&amp;L'!AF23+'Consolidated P&amp;L'!AG23+'Consolidated P&amp;L'!AH23+'Consolidated P&amp;L'!AI23+'Consolidated P&amp;L'!AJ23+'Consolidated P&amp;L'!AK23+'Consolidated P&amp;L'!AL23+'Consolidated P&amp;L'!AM23+'Consolidated P&amp;L'!AN23+'Consolidated P&amp;L'!AO23+'Consolidated P&amp;L'!AP23)*12/12+Assumptions!H56)*Assumptions!B8)-AP5)),0)</f>
        <v/>
      </c>
      <c r="AQ12" s="156">
        <f>IF(AND(Assumptions!B56&lt;&gt;"",IFERROR(DATEVALUE(TEXT(Assumptions!B56,"MM/DD/YYYY")),0)&gt;=DATE(2030,2,1),IFERROR(DATEVALUE(TEXT(Assumptions!B56,"MM/DD/YYYY")),0)&lt;=DATE(2030,2,28)),MIN(Assumptions!G56,MAX(0,((('Consolidated P&amp;L'!AF23+'Consolidated P&amp;L'!AG23+'Consolidated P&amp;L'!AH23+'Consolidated P&amp;L'!AI23+'Consolidated P&amp;L'!AJ23+'Consolidated P&amp;L'!AK23+'Consolidated P&amp;L'!AL23+'Consolidated P&amp;L'!AM23+'Consolidated P&amp;L'!AN23+'Consolidated P&amp;L'!AO23+'Consolidated P&amp;L'!AP23+'Consolidated P&amp;L'!AQ23)*12/12+Assumptions!H56)*Assumptions!B8)-AQ5)),0)</f>
        <v/>
      </c>
      <c r="AR12" s="156">
        <f>IF(AND(Assumptions!B56&lt;&gt;"",IFERROR(DATEVALUE(TEXT(Assumptions!B56,"MM/DD/YYYY")),0)&gt;=DATE(2030,3,1),IFERROR(DATEVALUE(TEXT(Assumptions!B56,"MM/DD/YYYY")),0)&lt;=DATE(2030,3,31)),MIN(Assumptions!G56,MAX(0,((('Consolidated P&amp;L'!AG23+'Consolidated P&amp;L'!AH23+'Consolidated P&amp;L'!AI23+'Consolidated P&amp;L'!AJ23+'Consolidated P&amp;L'!AK23+'Consolidated P&amp;L'!AL23+'Consolidated P&amp;L'!AM23+'Consolidated P&amp;L'!AN23+'Consolidated P&amp;L'!AO23+'Consolidated P&amp;L'!AP23+'Consolidated P&amp;L'!AQ23+'Consolidated P&amp;L'!AR23)*12/12+Assumptions!H56)*Assumptions!B8)-AR5)),0)</f>
        <v/>
      </c>
      <c r="AS12" s="156">
        <f>IF(AND(Assumptions!B56&lt;&gt;"",IFERROR(DATEVALUE(TEXT(Assumptions!B56,"MM/DD/YYYY")),0)&gt;=DATE(2030,4,1),IFERROR(DATEVALUE(TEXT(Assumptions!B56,"MM/DD/YYYY")),0)&lt;=DATE(2030,4,30)),MIN(Assumptions!G56,MAX(0,((('Consolidated P&amp;L'!AH23+'Consolidated P&amp;L'!AI23+'Consolidated P&amp;L'!AJ23+'Consolidated P&amp;L'!AK23+'Consolidated P&amp;L'!AL23+'Consolidated P&amp;L'!AM23+'Consolidated P&amp;L'!AN23+'Consolidated P&amp;L'!AO23+'Consolidated P&amp;L'!AP23+'Consolidated P&amp;L'!AQ23+'Consolidated P&amp;L'!AR23+'Consolidated P&amp;L'!AS23)*12/12+Assumptions!H56)*Assumptions!B8)-AS5)),0)</f>
        <v/>
      </c>
      <c r="AT12" s="156">
        <f>IF(AND(Assumptions!B56&lt;&gt;"",IFERROR(DATEVALUE(TEXT(Assumptions!B56,"MM/DD/YYYY")),0)&gt;=DATE(2030,5,1),IFERROR(DATEVALUE(TEXT(Assumptions!B56,"MM/DD/YYYY")),0)&lt;=DATE(2030,5,31)),MIN(Assumptions!G56,MAX(0,((('Consolidated P&amp;L'!AI23+'Consolidated P&amp;L'!AJ23+'Consolidated P&amp;L'!AK23+'Consolidated P&amp;L'!AL23+'Consolidated P&amp;L'!AM23+'Consolidated P&amp;L'!AN23+'Consolidated P&amp;L'!AO23+'Consolidated P&amp;L'!AP23+'Consolidated P&amp;L'!AQ23+'Consolidated P&amp;L'!AR23+'Consolidated P&amp;L'!AS23+'Consolidated P&amp;L'!AT23)*12/12+Assumptions!H56)*Assumptions!B8)-AT5)),0)</f>
        <v/>
      </c>
      <c r="AU12" s="156">
        <f>IF(AND(Assumptions!B56&lt;&gt;"",IFERROR(DATEVALUE(TEXT(Assumptions!B56,"MM/DD/YYYY")),0)&gt;=DATE(2030,6,1),IFERROR(DATEVALUE(TEXT(Assumptions!B56,"MM/DD/YYYY")),0)&lt;=DATE(2030,6,30)),MIN(Assumptions!G56,MAX(0,((('Consolidated P&amp;L'!AJ23+'Consolidated P&amp;L'!AK23+'Consolidated P&amp;L'!AL23+'Consolidated P&amp;L'!AM23+'Consolidated P&amp;L'!AN23+'Consolidated P&amp;L'!AO23+'Consolidated P&amp;L'!AP23+'Consolidated P&amp;L'!AQ23+'Consolidated P&amp;L'!AR23+'Consolidated P&amp;L'!AS23+'Consolidated P&amp;L'!AT23+'Consolidated P&amp;L'!AU23)*12/12+Assumptions!H56)*Assumptions!B8)-AU5)),0)</f>
        <v/>
      </c>
      <c r="AV12" s="156">
        <f>IF(AND(Assumptions!B56&lt;&gt;"",IFERROR(DATEVALUE(TEXT(Assumptions!B56,"MM/DD/YYYY")),0)&gt;=DATE(2030,7,1),IFERROR(DATEVALUE(TEXT(Assumptions!B56,"MM/DD/YYYY")),0)&lt;=DATE(2030,7,31)),MIN(Assumptions!G56,MAX(0,((('Consolidated P&amp;L'!AK23+'Consolidated P&amp;L'!AL23+'Consolidated P&amp;L'!AM23+'Consolidated P&amp;L'!AN23+'Consolidated P&amp;L'!AO23+'Consolidated P&amp;L'!AP23+'Consolidated P&amp;L'!AQ23+'Consolidated P&amp;L'!AR23+'Consolidated P&amp;L'!AS23+'Consolidated P&amp;L'!AT23+'Consolidated P&amp;L'!AU23+'Consolidated P&amp;L'!AV23)*12/12+Assumptions!H56)*Assumptions!B8)-AV5)),0)</f>
        <v/>
      </c>
      <c r="AW12" s="156">
        <f>IF(AND(Assumptions!B56&lt;&gt;"",IFERROR(DATEVALUE(TEXT(Assumptions!B56,"MM/DD/YYYY")),0)&gt;=DATE(2030,8,1),IFERROR(DATEVALUE(TEXT(Assumptions!B56,"MM/DD/YYYY")),0)&lt;=DATE(2030,8,31)),MIN(Assumptions!G56,MAX(0,((('Consolidated P&amp;L'!AL23+'Consolidated P&amp;L'!AM23+'Consolidated P&amp;L'!AN23+'Consolidated P&amp;L'!AO23+'Consolidated P&amp;L'!AP23+'Consolidated P&amp;L'!AQ23+'Consolidated P&amp;L'!AR23+'Consolidated P&amp;L'!AS23+'Consolidated P&amp;L'!AT23+'Consolidated P&amp;L'!AU23+'Consolidated P&amp;L'!AV23+'Consolidated P&amp;L'!AW23)*12/12+Assumptions!H56)*Assumptions!B8)-AW5)),0)</f>
        <v/>
      </c>
      <c r="AX12" s="156">
        <f>IF(AND(Assumptions!B56&lt;&gt;"",IFERROR(DATEVALUE(TEXT(Assumptions!B56,"MM/DD/YYYY")),0)&gt;=DATE(2030,9,1),IFERROR(DATEVALUE(TEXT(Assumptions!B56,"MM/DD/YYYY")),0)&lt;=DATE(2030,9,30)),MIN(Assumptions!G56,MAX(0,((('Consolidated P&amp;L'!AM23+'Consolidated P&amp;L'!AN23+'Consolidated P&amp;L'!AO23+'Consolidated P&amp;L'!AP23+'Consolidated P&amp;L'!AQ23+'Consolidated P&amp;L'!AR23+'Consolidated P&amp;L'!AS23+'Consolidated P&amp;L'!AT23+'Consolidated P&amp;L'!AU23+'Consolidated P&amp;L'!AV23+'Consolidated P&amp;L'!AW23+'Consolidated P&amp;L'!AX23)*12/12+Assumptions!H56)*Assumptions!B8)-AX5)),0)</f>
        <v/>
      </c>
      <c r="AY12" s="156">
        <f>IF(AND(Assumptions!B56&lt;&gt;"",IFERROR(DATEVALUE(TEXT(Assumptions!B56,"MM/DD/YYYY")),0)&gt;=DATE(2030,10,1),IFERROR(DATEVALUE(TEXT(Assumptions!B56,"MM/DD/YYYY")),0)&lt;=DATE(2030,10,31)),MIN(Assumptions!G56,MAX(0,((('Consolidated P&amp;L'!AN23+'Consolidated P&amp;L'!AO23+'Consolidated P&amp;L'!AP23+'Consolidated P&amp;L'!AQ23+'Consolidated P&amp;L'!AR23+'Consolidated P&amp;L'!AS23+'Consolidated P&amp;L'!AT23+'Consolidated P&amp;L'!AU23+'Consolidated P&amp;L'!AV23+'Consolidated P&amp;L'!AW23+'Consolidated P&amp;L'!AX23+'Consolidated P&amp;L'!AY23)*12/12+Assumptions!H56)*Assumptions!B8)-AY5)),0)</f>
        <v/>
      </c>
      <c r="AZ12" s="156">
        <f>IF(AND(Assumptions!B56&lt;&gt;"",IFERROR(DATEVALUE(TEXT(Assumptions!B56,"MM/DD/YYYY")),0)&gt;=DATE(2030,11,1),IFERROR(DATEVALUE(TEXT(Assumptions!B56,"MM/DD/YYYY")),0)&lt;=DATE(2030,11,30)),MIN(Assumptions!G56,MAX(0,((('Consolidated P&amp;L'!AO23+'Consolidated P&amp;L'!AP23+'Consolidated P&amp;L'!AQ23+'Consolidated P&amp;L'!AR23+'Consolidated P&amp;L'!AS23+'Consolidated P&amp;L'!AT23+'Consolidated P&amp;L'!AU23+'Consolidated P&amp;L'!AV23+'Consolidated P&amp;L'!AW23+'Consolidated P&amp;L'!AX23+'Consolidated P&amp;L'!AY23+'Consolidated P&amp;L'!AZ23)*12/12+Assumptions!H56)*Assumptions!B8)-AZ5)),0)</f>
        <v/>
      </c>
      <c r="BA12" s="156">
        <f>IF(AND(Assumptions!B56&lt;&gt;"",IFERROR(DATEVALUE(TEXT(Assumptions!B56,"MM/DD/YYYY")),0)&gt;=DATE(2030,12,1),IFERROR(DATEVALUE(TEXT(Assumptions!B56,"MM/DD/YYYY")),0)&lt;=DATE(2030,12,31)),MIN(Assumptions!G56,MAX(0,((('Consolidated P&amp;L'!AP23+'Consolidated P&amp;L'!AQ23+'Consolidated P&amp;L'!AR23+'Consolidated P&amp;L'!AS23+'Consolidated P&amp;L'!AT23+'Consolidated P&amp;L'!AU23+'Consolidated P&amp;L'!AV23+'Consolidated P&amp;L'!AW23+'Consolidated P&amp;L'!AX23+'Consolidated P&amp;L'!AY23+'Consolidated P&amp;L'!AZ23+'Consolidated P&amp;L'!BA23)*12/12+Assumptions!H56)*Assumptions!B8)-BA5)),0)</f>
        <v/>
      </c>
      <c r="BB12" s="156">
        <f>IF(AND(Assumptions!B56&lt;&gt;"",IFERROR(DATEVALUE(TEXT(Assumptions!B56,"MM/DD/YYYY")),0)&gt;=DATE(2031,1,1),IFERROR(DATEVALUE(TEXT(Assumptions!B56,"MM/DD/YYYY")),0)&lt;=DATE(2031,1,31)),MIN(Assumptions!G56,MAX(0,((('Consolidated P&amp;L'!AQ23+'Consolidated P&amp;L'!AR23+'Consolidated P&amp;L'!AS23+'Consolidated P&amp;L'!AT23+'Consolidated P&amp;L'!AU23+'Consolidated P&amp;L'!AV23+'Consolidated P&amp;L'!AW23+'Consolidated P&amp;L'!AX23+'Consolidated P&amp;L'!AY23+'Consolidated P&amp;L'!AZ23+'Consolidated P&amp;L'!BA23+'Consolidated P&amp;L'!BB23)*12/12+Assumptions!H56)*Assumptions!B8)-BB5)),0)</f>
        <v/>
      </c>
      <c r="BC12" s="156">
        <f>IF(AND(Assumptions!B56&lt;&gt;"",IFERROR(DATEVALUE(TEXT(Assumptions!B56,"MM/DD/YYYY")),0)&gt;=DATE(2031,2,1),IFERROR(DATEVALUE(TEXT(Assumptions!B56,"MM/DD/YYYY")),0)&lt;=DATE(2031,2,28)),MIN(Assumptions!G56,MAX(0,((('Consolidated P&amp;L'!AR23+'Consolidated P&amp;L'!AS23+'Consolidated P&amp;L'!AT23+'Consolidated P&amp;L'!AU23+'Consolidated P&amp;L'!AV23+'Consolidated P&amp;L'!AW23+'Consolidated P&amp;L'!AX23+'Consolidated P&amp;L'!AY23+'Consolidated P&amp;L'!AZ23+'Consolidated P&amp;L'!BA23+'Consolidated P&amp;L'!BB23+'Consolidated P&amp;L'!BC23)*12/12+Assumptions!H56)*Assumptions!B8)-BC5)),0)</f>
        <v/>
      </c>
      <c r="BD12" s="156">
        <f>IF(AND(Assumptions!B56&lt;&gt;"",IFERROR(DATEVALUE(TEXT(Assumptions!B56,"MM/DD/YYYY")),0)&gt;=DATE(2031,3,1),IFERROR(DATEVALUE(TEXT(Assumptions!B56,"MM/DD/YYYY")),0)&lt;=DATE(2031,3,31)),MIN(Assumptions!G56,MAX(0,((('Consolidated P&amp;L'!AS23+'Consolidated P&amp;L'!AT23+'Consolidated P&amp;L'!AU23+'Consolidated P&amp;L'!AV23+'Consolidated P&amp;L'!AW23+'Consolidated P&amp;L'!AX23+'Consolidated P&amp;L'!AY23+'Consolidated P&amp;L'!AZ23+'Consolidated P&amp;L'!BA23+'Consolidated P&amp;L'!BB23+'Consolidated P&amp;L'!BC23+'Consolidated P&amp;L'!BD23)*12/12+Assumptions!H56)*Assumptions!B8)-BD5)),0)</f>
        <v/>
      </c>
      <c r="BE12" s="156">
        <f>IF(AND(Assumptions!B56&lt;&gt;"",IFERROR(DATEVALUE(TEXT(Assumptions!B56,"MM/DD/YYYY")),0)&gt;=DATE(2031,4,1),IFERROR(DATEVALUE(TEXT(Assumptions!B56,"MM/DD/YYYY")),0)&lt;=DATE(2031,4,30)),MIN(Assumptions!G56,MAX(0,((('Consolidated P&amp;L'!AT23+'Consolidated P&amp;L'!AU23+'Consolidated P&amp;L'!AV23+'Consolidated P&amp;L'!AW23+'Consolidated P&amp;L'!AX23+'Consolidated P&amp;L'!AY23+'Consolidated P&amp;L'!AZ23+'Consolidated P&amp;L'!BA23+'Consolidated P&amp;L'!BB23+'Consolidated P&amp;L'!BC23+'Consolidated P&amp;L'!BD23+'Consolidated P&amp;L'!BE23)*12/12+Assumptions!H56)*Assumptions!B8)-BE5)),0)</f>
        <v/>
      </c>
      <c r="BF12" s="156">
        <f>IF(AND(Assumptions!B56&lt;&gt;"",IFERROR(DATEVALUE(TEXT(Assumptions!B56,"MM/DD/YYYY")),0)&gt;=DATE(2031,5,1),IFERROR(DATEVALUE(TEXT(Assumptions!B56,"MM/DD/YYYY")),0)&lt;=DATE(2031,5,31)),MIN(Assumptions!G56,MAX(0,((('Consolidated P&amp;L'!AU23+'Consolidated P&amp;L'!AV23+'Consolidated P&amp;L'!AW23+'Consolidated P&amp;L'!AX23+'Consolidated P&amp;L'!AY23+'Consolidated P&amp;L'!AZ23+'Consolidated P&amp;L'!BA23+'Consolidated P&amp;L'!BB23+'Consolidated P&amp;L'!BC23+'Consolidated P&amp;L'!BD23+'Consolidated P&amp;L'!BE23+'Consolidated P&amp;L'!BF23)*12/12+Assumptions!H56)*Assumptions!B8)-BF5)),0)</f>
        <v/>
      </c>
      <c r="BG12" s="156">
        <f>IF(AND(Assumptions!B56&lt;&gt;"",IFERROR(DATEVALUE(TEXT(Assumptions!B56,"MM/DD/YYYY")),0)&gt;=DATE(2031,6,1),IFERROR(DATEVALUE(TEXT(Assumptions!B56,"MM/DD/YYYY")),0)&lt;=DATE(2031,6,30)),MIN(Assumptions!G56,MAX(0,((('Consolidated P&amp;L'!AV23+'Consolidated P&amp;L'!AW23+'Consolidated P&amp;L'!AX23+'Consolidated P&amp;L'!AY23+'Consolidated P&amp;L'!AZ23+'Consolidated P&amp;L'!BA23+'Consolidated P&amp;L'!BB23+'Consolidated P&amp;L'!BC23+'Consolidated P&amp;L'!BD23+'Consolidated P&amp;L'!BE23+'Consolidated P&amp;L'!BF23+'Consolidated P&amp;L'!BG23)*12/12+Assumptions!H56)*Assumptions!B8)-BG5)),0)</f>
        <v/>
      </c>
      <c r="BH12" s="156">
        <f>IF(AND(Assumptions!B56&lt;&gt;"",IFERROR(DATEVALUE(TEXT(Assumptions!B56,"MM/DD/YYYY")),0)&gt;=DATE(2031,7,1),IFERROR(DATEVALUE(TEXT(Assumptions!B56,"MM/DD/YYYY")),0)&lt;=DATE(2031,7,31)),MIN(Assumptions!G56,MAX(0,((('Consolidated P&amp;L'!AW23+'Consolidated P&amp;L'!AX23+'Consolidated P&amp;L'!AY23+'Consolidated P&amp;L'!AZ23+'Consolidated P&amp;L'!BA23+'Consolidated P&amp;L'!BB23+'Consolidated P&amp;L'!BC23+'Consolidated P&amp;L'!BD23+'Consolidated P&amp;L'!BE23+'Consolidated P&amp;L'!BF23+'Consolidated P&amp;L'!BG23+'Consolidated P&amp;L'!BH23)*12/12+Assumptions!H56)*Assumptions!B8)-BH5)),0)</f>
        <v/>
      </c>
      <c r="BI12" s="156">
        <f>IF(AND(Assumptions!B56&lt;&gt;"",IFERROR(DATEVALUE(TEXT(Assumptions!B56,"MM/DD/YYYY")),0)&gt;=DATE(2031,8,1),IFERROR(DATEVALUE(TEXT(Assumptions!B56,"MM/DD/YYYY")),0)&lt;=DATE(2031,8,31)),MIN(Assumptions!G56,MAX(0,((('Consolidated P&amp;L'!AX23+'Consolidated P&amp;L'!AY23+'Consolidated P&amp;L'!AZ23+'Consolidated P&amp;L'!BA23+'Consolidated P&amp;L'!BB23+'Consolidated P&amp;L'!BC23+'Consolidated P&amp;L'!BD23+'Consolidated P&amp;L'!BE23+'Consolidated P&amp;L'!BF23+'Consolidated P&amp;L'!BG23+'Consolidated P&amp;L'!BH23+'Consolidated P&amp;L'!BI23)*12/12+Assumptions!H56)*Assumptions!B8)-BI5)),0)</f>
        <v/>
      </c>
      <c r="BJ12" s="156">
        <f>IF(AND(Assumptions!B56&lt;&gt;"",IFERROR(DATEVALUE(TEXT(Assumptions!B56,"MM/DD/YYYY")),0)&gt;=DATE(2031,9,1),IFERROR(DATEVALUE(TEXT(Assumptions!B56,"MM/DD/YYYY")),0)&lt;=DATE(2031,9,30)),MIN(Assumptions!G56,MAX(0,((('Consolidated P&amp;L'!AY23+'Consolidated P&amp;L'!AZ23+'Consolidated P&amp;L'!BA23+'Consolidated P&amp;L'!BB23+'Consolidated P&amp;L'!BC23+'Consolidated P&amp;L'!BD23+'Consolidated P&amp;L'!BE23+'Consolidated P&amp;L'!BF23+'Consolidated P&amp;L'!BG23+'Consolidated P&amp;L'!BH23+'Consolidated P&amp;L'!BI23+'Consolidated P&amp;L'!BJ23)*12/12+Assumptions!H56)*Assumptions!B8)-BJ5)),0)</f>
        <v/>
      </c>
      <c r="BL12" s="157">
        <f>C12+D12+E12+F12+G12+H12+I12+J12+K12+L12+M12+N12</f>
        <v/>
      </c>
      <c r="BM12" s="157">
        <f>O12+P12+Q12+R12+S12+T12+U12+V12+W12+X12+Y12+Z12</f>
        <v/>
      </c>
      <c r="BN12" s="157">
        <f>AA12+AB12+AC12+AD12+AE12+AF12+AG12+AH12+AI12+AJ12+AK12+AL12</f>
        <v/>
      </c>
      <c r="BO12" s="157">
        <f>AM12+AN12+AO12+AP12+AQ12+AR12+AS12+AT12+AU12+AV12+AW12+AX12</f>
        <v/>
      </c>
      <c r="BP12" s="157">
        <f>AY12+AZ12+BA12+BB12+BC12+BD12+BE12+BF12+BG12+BH12+BI12+BJ12</f>
        <v/>
      </c>
    </row>
    <row r="13" ht="15" customHeight="1" s="104">
      <c r="A13" s="107" t="inlineStr">
        <is>
          <t xml:space="preserve">    Add-On 7 Debt Draw</t>
        </is>
      </c>
      <c r="C13" s="156">
        <f>IF(AND(Assumptions!B57&lt;&gt;"",IFERROR(DATEVALUE(TEXT(Assumptions!B57,"MM/DD/YYYY")),0)&gt;=DATE(2026,10,1),IFERROR(DATEVALUE(TEXT(Assumptions!B57,"MM/DD/YYYY")),0)&lt;=DATE(2026,10,31)),MIN(Assumptions!G57,MAX(0,((('Consolidated P&amp;L'!C23)*12/1+Assumptions!H57)*Assumptions!B8)-C5)),0)</f>
        <v/>
      </c>
      <c r="D13" s="156">
        <f>IF(AND(Assumptions!B57&lt;&gt;"",IFERROR(DATEVALUE(TEXT(Assumptions!B57,"MM/DD/YYYY")),0)&gt;=DATE(2026,11,1),IFERROR(DATEVALUE(TEXT(Assumptions!B57,"MM/DD/YYYY")),0)&lt;=DATE(2026,11,30)),MIN(Assumptions!G57,MAX(0,((('Consolidated P&amp;L'!C23+'Consolidated P&amp;L'!D23)*12/2+Assumptions!H57)*Assumptions!B8)-D5)),0)</f>
        <v/>
      </c>
      <c r="E13" s="156">
        <f>IF(AND(Assumptions!B57&lt;&gt;"",IFERROR(DATEVALUE(TEXT(Assumptions!B57,"MM/DD/YYYY")),0)&gt;=DATE(2026,12,1),IFERROR(DATEVALUE(TEXT(Assumptions!B57,"MM/DD/YYYY")),0)&lt;=DATE(2026,12,31)),MIN(Assumptions!G57,MAX(0,((('Consolidated P&amp;L'!C23+'Consolidated P&amp;L'!D23+'Consolidated P&amp;L'!E23)*12/3+Assumptions!H57)*Assumptions!B8)-E5)),0)</f>
        <v/>
      </c>
      <c r="F13" s="156">
        <f>IF(AND(Assumptions!B57&lt;&gt;"",IFERROR(DATEVALUE(TEXT(Assumptions!B57,"MM/DD/YYYY")),0)&gt;=DATE(2027,1,1),IFERROR(DATEVALUE(TEXT(Assumptions!B57,"MM/DD/YYYY")),0)&lt;=DATE(2027,1,31)),MIN(Assumptions!G57,MAX(0,((('Consolidated P&amp;L'!C23+'Consolidated P&amp;L'!D23+'Consolidated P&amp;L'!E23+'Consolidated P&amp;L'!F23)*12/4+Assumptions!H57)*Assumptions!B8)-F5)),0)</f>
        <v/>
      </c>
      <c r="G13" s="156">
        <f>IF(AND(Assumptions!B57&lt;&gt;"",IFERROR(DATEVALUE(TEXT(Assumptions!B57,"MM/DD/YYYY")),0)&gt;=DATE(2027,2,1),IFERROR(DATEVALUE(TEXT(Assumptions!B57,"MM/DD/YYYY")),0)&lt;=DATE(2027,2,28)),MIN(Assumptions!G57,MAX(0,((('Consolidated P&amp;L'!C23+'Consolidated P&amp;L'!D23+'Consolidated P&amp;L'!E23+'Consolidated P&amp;L'!F23+'Consolidated P&amp;L'!G23)*12/5+Assumptions!H57)*Assumptions!B8)-G5)),0)</f>
        <v/>
      </c>
      <c r="H13" s="156">
        <f>IF(AND(Assumptions!B57&lt;&gt;"",IFERROR(DATEVALUE(TEXT(Assumptions!B57,"MM/DD/YYYY")),0)&gt;=DATE(2027,3,1),IFERROR(DATEVALUE(TEXT(Assumptions!B57,"MM/DD/YYYY")),0)&lt;=DATE(2027,3,31)),MIN(Assumptions!G57,MAX(0,((('Consolidated P&amp;L'!C23+'Consolidated P&amp;L'!D23+'Consolidated P&amp;L'!E23+'Consolidated P&amp;L'!F23+'Consolidated P&amp;L'!G23+'Consolidated P&amp;L'!H23)*12/6+Assumptions!H57)*Assumptions!B8)-H5)),0)</f>
        <v/>
      </c>
      <c r="I13" s="156">
        <f>IF(AND(Assumptions!B57&lt;&gt;"",IFERROR(DATEVALUE(TEXT(Assumptions!B57,"MM/DD/YYYY")),0)&gt;=DATE(2027,4,1),IFERROR(DATEVALUE(TEXT(Assumptions!B57,"MM/DD/YYYY")),0)&lt;=DATE(2027,4,30)),MIN(Assumptions!G57,MAX(0,((('Consolidated P&amp;L'!C23+'Consolidated P&amp;L'!D23+'Consolidated P&amp;L'!E23+'Consolidated P&amp;L'!F23+'Consolidated P&amp;L'!G23+'Consolidated P&amp;L'!H23+'Consolidated P&amp;L'!I23)*12/7+Assumptions!H57)*Assumptions!B8)-I5)),0)</f>
        <v/>
      </c>
      <c r="J13" s="156">
        <f>IF(AND(Assumptions!B57&lt;&gt;"",IFERROR(DATEVALUE(TEXT(Assumptions!B57,"MM/DD/YYYY")),0)&gt;=DATE(2027,5,1),IFERROR(DATEVALUE(TEXT(Assumptions!B57,"MM/DD/YYYY")),0)&lt;=DATE(2027,5,31)),MIN(Assumptions!G57,MAX(0,((('Consolidated P&amp;L'!C23+'Consolidated P&amp;L'!D23+'Consolidated P&amp;L'!E23+'Consolidated P&amp;L'!F23+'Consolidated P&amp;L'!G23+'Consolidated P&amp;L'!H23+'Consolidated P&amp;L'!I23+'Consolidated P&amp;L'!J23)*12/8+Assumptions!H57)*Assumptions!B8)-J5)),0)</f>
        <v/>
      </c>
      <c r="K13" s="156">
        <f>IF(AND(Assumptions!B57&lt;&gt;"",IFERROR(DATEVALUE(TEXT(Assumptions!B57,"MM/DD/YYYY")),0)&gt;=DATE(2027,6,1),IFERROR(DATEVALUE(TEXT(Assumptions!B57,"MM/DD/YYYY")),0)&lt;=DATE(2027,6,30)),MIN(Assumptions!G57,MAX(0,((('Consolidated P&amp;L'!C23+'Consolidated P&amp;L'!D23+'Consolidated P&amp;L'!E23+'Consolidated P&amp;L'!F23+'Consolidated P&amp;L'!G23+'Consolidated P&amp;L'!H23+'Consolidated P&amp;L'!I23+'Consolidated P&amp;L'!J23+'Consolidated P&amp;L'!K23)*12/9+Assumptions!H57)*Assumptions!B8)-K5)),0)</f>
        <v/>
      </c>
      <c r="L13" s="156">
        <f>IF(AND(Assumptions!B57&lt;&gt;"",IFERROR(DATEVALUE(TEXT(Assumptions!B57,"MM/DD/YYYY")),0)&gt;=DATE(2027,7,1),IFERROR(DATEVALUE(TEXT(Assumptions!B57,"MM/DD/YYYY")),0)&lt;=DATE(2027,7,31)),MIN(Assumptions!G57,MAX(0,((('Consolidated P&amp;L'!C23+'Consolidated P&amp;L'!D23+'Consolidated P&amp;L'!E23+'Consolidated P&amp;L'!F23+'Consolidated P&amp;L'!G23+'Consolidated P&amp;L'!H23+'Consolidated P&amp;L'!I23+'Consolidated P&amp;L'!J23+'Consolidated P&amp;L'!K23+'Consolidated P&amp;L'!L23)*12/10+Assumptions!H57)*Assumptions!B8)-L5)),0)</f>
        <v/>
      </c>
      <c r="M13" s="156">
        <f>IF(AND(Assumptions!B57&lt;&gt;"",IFERROR(DATEVALUE(TEXT(Assumptions!B57,"MM/DD/YYYY")),0)&gt;=DATE(2027,8,1),IFERROR(DATEVALUE(TEXT(Assumptions!B57,"MM/DD/YYYY")),0)&lt;=DATE(2027,8,31)),MIN(Assumptions!G57,MAX(0,((('Consolidated P&amp;L'!C23+'Consolidated P&amp;L'!D23+'Consolidated P&amp;L'!E23+'Consolidated P&amp;L'!F23+'Consolidated P&amp;L'!G23+'Consolidated P&amp;L'!H23+'Consolidated P&amp;L'!I23+'Consolidated P&amp;L'!J23+'Consolidated P&amp;L'!K23+'Consolidated P&amp;L'!L23+'Consolidated P&amp;L'!M23)*12/11+Assumptions!H57)*Assumptions!B8)-M5)),0)</f>
        <v/>
      </c>
      <c r="N13" s="156">
        <f>IF(AND(Assumptions!B57&lt;&gt;"",IFERROR(DATEVALUE(TEXT(Assumptions!B57,"MM/DD/YYYY")),0)&gt;=DATE(2027,9,1),IFERROR(DATEVALUE(TEXT(Assumptions!B57,"MM/DD/YYYY")),0)&lt;=DATE(2027,9,30)),MIN(Assumptions!G57,MAX(0,((('Consolidated P&amp;L'!C23+'Consolidated P&amp;L'!D23+'Consolidated P&amp;L'!E23+'Consolidated P&amp;L'!F23+'Consolidated P&amp;L'!G23+'Consolidated P&amp;L'!H23+'Consolidated P&amp;L'!I23+'Consolidated P&amp;L'!J23+'Consolidated P&amp;L'!K23+'Consolidated P&amp;L'!L23+'Consolidated P&amp;L'!M23+'Consolidated P&amp;L'!N23)*12/12+Assumptions!H57)*Assumptions!B8)-N5)),0)</f>
        <v/>
      </c>
      <c r="O13" s="156">
        <f>IF(AND(Assumptions!B57&lt;&gt;"",IFERROR(DATEVALUE(TEXT(Assumptions!B57,"MM/DD/YYYY")),0)&gt;=DATE(2027,10,1),IFERROR(DATEVALUE(TEXT(Assumptions!B57,"MM/DD/YYYY")),0)&lt;=DATE(2027,10,31)),MIN(Assumptions!G57,MAX(0,((('Consolidated P&amp;L'!D23+'Consolidated P&amp;L'!E23+'Consolidated P&amp;L'!F23+'Consolidated P&amp;L'!G23+'Consolidated P&amp;L'!H23+'Consolidated P&amp;L'!I23+'Consolidated P&amp;L'!J23+'Consolidated P&amp;L'!K23+'Consolidated P&amp;L'!L23+'Consolidated P&amp;L'!M23+'Consolidated P&amp;L'!N23+'Consolidated P&amp;L'!O23)*12/12+Assumptions!H57)*Assumptions!B8)-O5)),0)</f>
        <v/>
      </c>
      <c r="P13" s="156">
        <f>IF(AND(Assumptions!B57&lt;&gt;"",IFERROR(DATEVALUE(TEXT(Assumptions!B57,"MM/DD/YYYY")),0)&gt;=DATE(2027,11,1),IFERROR(DATEVALUE(TEXT(Assumptions!B57,"MM/DD/YYYY")),0)&lt;=DATE(2027,11,30)),MIN(Assumptions!G57,MAX(0,((('Consolidated P&amp;L'!E23+'Consolidated P&amp;L'!F23+'Consolidated P&amp;L'!G23+'Consolidated P&amp;L'!H23+'Consolidated P&amp;L'!I23+'Consolidated P&amp;L'!J23+'Consolidated P&amp;L'!K23+'Consolidated P&amp;L'!L23+'Consolidated P&amp;L'!M23+'Consolidated P&amp;L'!N23+'Consolidated P&amp;L'!O23+'Consolidated P&amp;L'!P23)*12/12+Assumptions!H57)*Assumptions!B8)-P5)),0)</f>
        <v/>
      </c>
      <c r="Q13" s="156">
        <f>IF(AND(Assumptions!B57&lt;&gt;"",IFERROR(DATEVALUE(TEXT(Assumptions!B57,"MM/DD/YYYY")),0)&gt;=DATE(2027,12,1),IFERROR(DATEVALUE(TEXT(Assumptions!B57,"MM/DD/YYYY")),0)&lt;=DATE(2027,12,31)),MIN(Assumptions!G57,MAX(0,((('Consolidated P&amp;L'!F23+'Consolidated P&amp;L'!G23+'Consolidated P&amp;L'!H23+'Consolidated P&amp;L'!I23+'Consolidated P&amp;L'!J23+'Consolidated P&amp;L'!K23+'Consolidated P&amp;L'!L23+'Consolidated P&amp;L'!M23+'Consolidated P&amp;L'!N23+'Consolidated P&amp;L'!O23+'Consolidated P&amp;L'!P23+'Consolidated P&amp;L'!Q23)*12/12+Assumptions!H57)*Assumptions!B8)-Q5)),0)</f>
        <v/>
      </c>
      <c r="R13" s="156">
        <f>IF(AND(Assumptions!B57&lt;&gt;"",IFERROR(DATEVALUE(TEXT(Assumptions!B57,"MM/DD/YYYY")),0)&gt;=DATE(2028,1,1),IFERROR(DATEVALUE(TEXT(Assumptions!B57,"MM/DD/YYYY")),0)&lt;=DATE(2028,1,31)),MIN(Assumptions!G57,MAX(0,((('Consolidated P&amp;L'!G23+'Consolidated P&amp;L'!H23+'Consolidated P&amp;L'!I23+'Consolidated P&amp;L'!J23+'Consolidated P&amp;L'!K23+'Consolidated P&amp;L'!L23+'Consolidated P&amp;L'!M23+'Consolidated P&amp;L'!N23+'Consolidated P&amp;L'!O23+'Consolidated P&amp;L'!P23+'Consolidated P&amp;L'!Q23+'Consolidated P&amp;L'!R23)*12/12+Assumptions!H57)*Assumptions!B8)-R5)),0)</f>
        <v/>
      </c>
      <c r="S13" s="156">
        <f>IF(AND(Assumptions!B57&lt;&gt;"",IFERROR(DATEVALUE(TEXT(Assumptions!B57,"MM/DD/YYYY")),0)&gt;=DATE(2028,2,1),IFERROR(DATEVALUE(TEXT(Assumptions!B57,"MM/DD/YYYY")),0)&lt;=DATE(2028,2,29)),MIN(Assumptions!G57,MAX(0,((('Consolidated P&amp;L'!H23+'Consolidated P&amp;L'!I23+'Consolidated P&amp;L'!J23+'Consolidated P&amp;L'!K23+'Consolidated P&amp;L'!L23+'Consolidated P&amp;L'!M23+'Consolidated P&amp;L'!N23+'Consolidated P&amp;L'!O23+'Consolidated P&amp;L'!P23+'Consolidated P&amp;L'!Q23+'Consolidated P&amp;L'!R23+'Consolidated P&amp;L'!S23)*12/12+Assumptions!H57)*Assumptions!B8)-S5)),0)</f>
        <v/>
      </c>
      <c r="T13" s="156">
        <f>IF(AND(Assumptions!B57&lt;&gt;"",IFERROR(DATEVALUE(TEXT(Assumptions!B57,"MM/DD/YYYY")),0)&gt;=DATE(2028,3,1),IFERROR(DATEVALUE(TEXT(Assumptions!B57,"MM/DD/YYYY")),0)&lt;=DATE(2028,3,31)),MIN(Assumptions!G57,MAX(0,((('Consolidated P&amp;L'!I23+'Consolidated P&amp;L'!J23+'Consolidated P&amp;L'!K23+'Consolidated P&amp;L'!L23+'Consolidated P&amp;L'!M23+'Consolidated P&amp;L'!N23+'Consolidated P&amp;L'!O23+'Consolidated P&amp;L'!P23+'Consolidated P&amp;L'!Q23+'Consolidated P&amp;L'!R23+'Consolidated P&amp;L'!S23+'Consolidated P&amp;L'!T23)*12/12+Assumptions!H57)*Assumptions!B8)-T5)),0)</f>
        <v/>
      </c>
      <c r="U13" s="156">
        <f>IF(AND(Assumptions!B57&lt;&gt;"",IFERROR(DATEVALUE(TEXT(Assumptions!B57,"MM/DD/YYYY")),0)&gt;=DATE(2028,4,1),IFERROR(DATEVALUE(TEXT(Assumptions!B57,"MM/DD/YYYY")),0)&lt;=DATE(2028,4,30)),MIN(Assumptions!G57,MAX(0,((('Consolidated P&amp;L'!J23+'Consolidated P&amp;L'!K23+'Consolidated P&amp;L'!L23+'Consolidated P&amp;L'!M23+'Consolidated P&amp;L'!N23+'Consolidated P&amp;L'!O23+'Consolidated P&amp;L'!P23+'Consolidated P&amp;L'!Q23+'Consolidated P&amp;L'!R23+'Consolidated P&amp;L'!S23+'Consolidated P&amp;L'!T23+'Consolidated P&amp;L'!U23)*12/12+Assumptions!H57)*Assumptions!B8)-U5)),0)</f>
        <v/>
      </c>
      <c r="V13" s="156">
        <f>IF(AND(Assumptions!B57&lt;&gt;"",IFERROR(DATEVALUE(TEXT(Assumptions!B57,"MM/DD/YYYY")),0)&gt;=DATE(2028,5,1),IFERROR(DATEVALUE(TEXT(Assumptions!B57,"MM/DD/YYYY")),0)&lt;=DATE(2028,5,31)),MIN(Assumptions!G57,MAX(0,((('Consolidated P&amp;L'!K23+'Consolidated P&amp;L'!L23+'Consolidated P&amp;L'!M23+'Consolidated P&amp;L'!N23+'Consolidated P&amp;L'!O23+'Consolidated P&amp;L'!P23+'Consolidated P&amp;L'!Q23+'Consolidated P&amp;L'!R23+'Consolidated P&amp;L'!S23+'Consolidated P&amp;L'!T23+'Consolidated P&amp;L'!U23+'Consolidated P&amp;L'!V23)*12/12+Assumptions!H57)*Assumptions!B8)-V5)),0)</f>
        <v/>
      </c>
      <c r="W13" s="156">
        <f>IF(AND(Assumptions!B57&lt;&gt;"",IFERROR(DATEVALUE(TEXT(Assumptions!B57,"MM/DD/YYYY")),0)&gt;=DATE(2028,6,1),IFERROR(DATEVALUE(TEXT(Assumptions!B57,"MM/DD/YYYY")),0)&lt;=DATE(2028,6,30)),MIN(Assumptions!G57,MAX(0,((('Consolidated P&amp;L'!L23+'Consolidated P&amp;L'!M23+'Consolidated P&amp;L'!N23+'Consolidated P&amp;L'!O23+'Consolidated P&amp;L'!P23+'Consolidated P&amp;L'!Q23+'Consolidated P&amp;L'!R23+'Consolidated P&amp;L'!S23+'Consolidated P&amp;L'!T23+'Consolidated P&amp;L'!U23+'Consolidated P&amp;L'!V23+'Consolidated P&amp;L'!W23)*12/12+Assumptions!H57)*Assumptions!B8)-W5)),0)</f>
        <v/>
      </c>
      <c r="X13" s="156">
        <f>IF(AND(Assumptions!B57&lt;&gt;"",IFERROR(DATEVALUE(TEXT(Assumptions!B57,"MM/DD/YYYY")),0)&gt;=DATE(2028,7,1),IFERROR(DATEVALUE(TEXT(Assumptions!B57,"MM/DD/YYYY")),0)&lt;=DATE(2028,7,31)),MIN(Assumptions!G57,MAX(0,((('Consolidated P&amp;L'!M23+'Consolidated P&amp;L'!N23+'Consolidated P&amp;L'!O23+'Consolidated P&amp;L'!P23+'Consolidated P&amp;L'!Q23+'Consolidated P&amp;L'!R23+'Consolidated P&amp;L'!S23+'Consolidated P&amp;L'!T23+'Consolidated P&amp;L'!U23+'Consolidated P&amp;L'!V23+'Consolidated P&amp;L'!W23+'Consolidated P&amp;L'!X23)*12/12+Assumptions!H57)*Assumptions!B8)-X5)),0)</f>
        <v/>
      </c>
      <c r="Y13" s="156">
        <f>IF(AND(Assumptions!B57&lt;&gt;"",IFERROR(DATEVALUE(TEXT(Assumptions!B57,"MM/DD/YYYY")),0)&gt;=DATE(2028,8,1),IFERROR(DATEVALUE(TEXT(Assumptions!B57,"MM/DD/YYYY")),0)&lt;=DATE(2028,8,31)),MIN(Assumptions!G57,MAX(0,((('Consolidated P&amp;L'!N23+'Consolidated P&amp;L'!O23+'Consolidated P&amp;L'!P23+'Consolidated P&amp;L'!Q23+'Consolidated P&amp;L'!R23+'Consolidated P&amp;L'!S23+'Consolidated P&amp;L'!T23+'Consolidated P&amp;L'!U23+'Consolidated P&amp;L'!V23+'Consolidated P&amp;L'!W23+'Consolidated P&amp;L'!X23+'Consolidated P&amp;L'!Y23)*12/12+Assumptions!H57)*Assumptions!B8)-Y5)),0)</f>
        <v/>
      </c>
      <c r="Z13" s="156">
        <f>IF(AND(Assumptions!B57&lt;&gt;"",IFERROR(DATEVALUE(TEXT(Assumptions!B57,"MM/DD/YYYY")),0)&gt;=DATE(2028,9,1),IFERROR(DATEVALUE(TEXT(Assumptions!B57,"MM/DD/YYYY")),0)&lt;=DATE(2028,9,30)),MIN(Assumptions!G57,MAX(0,((('Consolidated P&amp;L'!O23+'Consolidated P&amp;L'!P23+'Consolidated P&amp;L'!Q23+'Consolidated P&amp;L'!R23+'Consolidated P&amp;L'!S23+'Consolidated P&amp;L'!T23+'Consolidated P&amp;L'!U23+'Consolidated P&amp;L'!V23+'Consolidated P&amp;L'!W23+'Consolidated P&amp;L'!X23+'Consolidated P&amp;L'!Y23+'Consolidated P&amp;L'!Z23)*12/12+Assumptions!H57)*Assumptions!B8)-Z5)),0)</f>
        <v/>
      </c>
      <c r="AA13" s="156">
        <f>IF(AND(Assumptions!B57&lt;&gt;"",IFERROR(DATEVALUE(TEXT(Assumptions!B57,"MM/DD/YYYY")),0)&gt;=DATE(2028,10,1),IFERROR(DATEVALUE(TEXT(Assumptions!B57,"MM/DD/YYYY")),0)&lt;=DATE(2028,10,31)),MIN(Assumptions!G57,MAX(0,((('Consolidated P&amp;L'!P23+'Consolidated P&amp;L'!Q23+'Consolidated P&amp;L'!R23+'Consolidated P&amp;L'!S23+'Consolidated P&amp;L'!T23+'Consolidated P&amp;L'!U23+'Consolidated P&amp;L'!V23+'Consolidated P&amp;L'!W23+'Consolidated P&amp;L'!X23+'Consolidated P&amp;L'!Y23+'Consolidated P&amp;L'!Z23+'Consolidated P&amp;L'!AA23)*12/12+Assumptions!H57)*Assumptions!B8)-AA5)),0)</f>
        <v/>
      </c>
      <c r="AB13" s="156">
        <f>IF(AND(Assumptions!B57&lt;&gt;"",IFERROR(DATEVALUE(TEXT(Assumptions!B57,"MM/DD/YYYY")),0)&gt;=DATE(2028,11,1),IFERROR(DATEVALUE(TEXT(Assumptions!B57,"MM/DD/YYYY")),0)&lt;=DATE(2028,11,30)),MIN(Assumptions!G57,MAX(0,((('Consolidated P&amp;L'!Q23+'Consolidated P&amp;L'!R23+'Consolidated P&amp;L'!S23+'Consolidated P&amp;L'!T23+'Consolidated P&amp;L'!U23+'Consolidated P&amp;L'!V23+'Consolidated P&amp;L'!W23+'Consolidated P&amp;L'!X23+'Consolidated P&amp;L'!Y23+'Consolidated P&amp;L'!Z23+'Consolidated P&amp;L'!AA23+'Consolidated P&amp;L'!AB23)*12/12+Assumptions!H57)*Assumptions!B8)-AB5)),0)</f>
        <v/>
      </c>
      <c r="AC13" s="156">
        <f>IF(AND(Assumptions!B57&lt;&gt;"",IFERROR(DATEVALUE(TEXT(Assumptions!B57,"MM/DD/YYYY")),0)&gt;=DATE(2028,12,1),IFERROR(DATEVALUE(TEXT(Assumptions!B57,"MM/DD/YYYY")),0)&lt;=DATE(2028,12,31)),MIN(Assumptions!G57,MAX(0,((('Consolidated P&amp;L'!R23+'Consolidated P&amp;L'!S23+'Consolidated P&amp;L'!T23+'Consolidated P&amp;L'!U23+'Consolidated P&amp;L'!V23+'Consolidated P&amp;L'!W23+'Consolidated P&amp;L'!X23+'Consolidated P&amp;L'!Y23+'Consolidated P&amp;L'!Z23+'Consolidated P&amp;L'!AA23+'Consolidated P&amp;L'!AB23+'Consolidated P&amp;L'!AC23)*12/12+Assumptions!H57)*Assumptions!B8)-AC5)),0)</f>
        <v/>
      </c>
      <c r="AD13" s="156">
        <f>IF(AND(Assumptions!B57&lt;&gt;"",IFERROR(DATEVALUE(TEXT(Assumptions!B57,"MM/DD/YYYY")),0)&gt;=DATE(2029,1,1),IFERROR(DATEVALUE(TEXT(Assumptions!B57,"MM/DD/YYYY")),0)&lt;=DATE(2029,1,31)),MIN(Assumptions!G57,MAX(0,((('Consolidated P&amp;L'!S23+'Consolidated P&amp;L'!T23+'Consolidated P&amp;L'!U23+'Consolidated P&amp;L'!V23+'Consolidated P&amp;L'!W23+'Consolidated P&amp;L'!X23+'Consolidated P&amp;L'!Y23+'Consolidated P&amp;L'!Z23+'Consolidated P&amp;L'!AA23+'Consolidated P&amp;L'!AB23+'Consolidated P&amp;L'!AC23+'Consolidated P&amp;L'!AD23)*12/12+Assumptions!H57)*Assumptions!B8)-AD5)),0)</f>
        <v/>
      </c>
      <c r="AE13" s="156">
        <f>IF(AND(Assumptions!B57&lt;&gt;"",IFERROR(DATEVALUE(TEXT(Assumptions!B57,"MM/DD/YYYY")),0)&gt;=DATE(2029,2,1),IFERROR(DATEVALUE(TEXT(Assumptions!B57,"MM/DD/YYYY")),0)&lt;=DATE(2029,2,28)),MIN(Assumptions!G57,MAX(0,((('Consolidated P&amp;L'!T23+'Consolidated P&amp;L'!U23+'Consolidated P&amp;L'!V23+'Consolidated P&amp;L'!W23+'Consolidated P&amp;L'!X23+'Consolidated P&amp;L'!Y23+'Consolidated P&amp;L'!Z23+'Consolidated P&amp;L'!AA23+'Consolidated P&amp;L'!AB23+'Consolidated P&amp;L'!AC23+'Consolidated P&amp;L'!AD23+'Consolidated P&amp;L'!AE23)*12/12+Assumptions!H57)*Assumptions!B8)-AE5)),0)</f>
        <v/>
      </c>
      <c r="AF13" s="156">
        <f>IF(AND(Assumptions!B57&lt;&gt;"",IFERROR(DATEVALUE(TEXT(Assumptions!B57,"MM/DD/YYYY")),0)&gt;=DATE(2029,3,1),IFERROR(DATEVALUE(TEXT(Assumptions!B57,"MM/DD/YYYY")),0)&lt;=DATE(2029,3,31)),MIN(Assumptions!G57,MAX(0,((('Consolidated P&amp;L'!U23+'Consolidated P&amp;L'!V23+'Consolidated P&amp;L'!W23+'Consolidated P&amp;L'!X23+'Consolidated P&amp;L'!Y23+'Consolidated P&amp;L'!Z23+'Consolidated P&amp;L'!AA23+'Consolidated P&amp;L'!AB23+'Consolidated P&amp;L'!AC23+'Consolidated P&amp;L'!AD23+'Consolidated P&amp;L'!AE23+'Consolidated P&amp;L'!AF23)*12/12+Assumptions!H57)*Assumptions!B8)-AF5)),0)</f>
        <v/>
      </c>
      <c r="AG13" s="156">
        <f>IF(AND(Assumptions!B57&lt;&gt;"",IFERROR(DATEVALUE(TEXT(Assumptions!B57,"MM/DD/YYYY")),0)&gt;=DATE(2029,4,1),IFERROR(DATEVALUE(TEXT(Assumptions!B57,"MM/DD/YYYY")),0)&lt;=DATE(2029,4,30)),MIN(Assumptions!G57,MAX(0,((('Consolidated P&amp;L'!V23+'Consolidated P&amp;L'!W23+'Consolidated P&amp;L'!X23+'Consolidated P&amp;L'!Y23+'Consolidated P&amp;L'!Z23+'Consolidated P&amp;L'!AA23+'Consolidated P&amp;L'!AB23+'Consolidated P&amp;L'!AC23+'Consolidated P&amp;L'!AD23+'Consolidated P&amp;L'!AE23+'Consolidated P&amp;L'!AF23+'Consolidated P&amp;L'!AG23)*12/12+Assumptions!H57)*Assumptions!B8)-AG5)),0)</f>
        <v/>
      </c>
      <c r="AH13" s="156">
        <f>IF(AND(Assumptions!B57&lt;&gt;"",IFERROR(DATEVALUE(TEXT(Assumptions!B57,"MM/DD/YYYY")),0)&gt;=DATE(2029,5,1),IFERROR(DATEVALUE(TEXT(Assumptions!B57,"MM/DD/YYYY")),0)&lt;=DATE(2029,5,31)),MIN(Assumptions!G57,MAX(0,((('Consolidated P&amp;L'!W23+'Consolidated P&amp;L'!X23+'Consolidated P&amp;L'!Y23+'Consolidated P&amp;L'!Z23+'Consolidated P&amp;L'!AA23+'Consolidated P&amp;L'!AB23+'Consolidated P&amp;L'!AC23+'Consolidated P&amp;L'!AD23+'Consolidated P&amp;L'!AE23+'Consolidated P&amp;L'!AF23+'Consolidated P&amp;L'!AG23+'Consolidated P&amp;L'!AH23)*12/12+Assumptions!H57)*Assumptions!B8)-AH5)),0)</f>
        <v/>
      </c>
      <c r="AI13" s="156">
        <f>IF(AND(Assumptions!B57&lt;&gt;"",IFERROR(DATEVALUE(TEXT(Assumptions!B57,"MM/DD/YYYY")),0)&gt;=DATE(2029,6,1),IFERROR(DATEVALUE(TEXT(Assumptions!B57,"MM/DD/YYYY")),0)&lt;=DATE(2029,6,30)),MIN(Assumptions!G57,MAX(0,((('Consolidated P&amp;L'!X23+'Consolidated P&amp;L'!Y23+'Consolidated P&amp;L'!Z23+'Consolidated P&amp;L'!AA23+'Consolidated P&amp;L'!AB23+'Consolidated P&amp;L'!AC23+'Consolidated P&amp;L'!AD23+'Consolidated P&amp;L'!AE23+'Consolidated P&amp;L'!AF23+'Consolidated P&amp;L'!AG23+'Consolidated P&amp;L'!AH23+'Consolidated P&amp;L'!AI23)*12/12+Assumptions!H57)*Assumptions!B8)-AI5)),0)</f>
        <v/>
      </c>
      <c r="AJ13" s="156">
        <f>IF(AND(Assumptions!B57&lt;&gt;"",IFERROR(DATEVALUE(TEXT(Assumptions!B57,"MM/DD/YYYY")),0)&gt;=DATE(2029,7,1),IFERROR(DATEVALUE(TEXT(Assumptions!B57,"MM/DD/YYYY")),0)&lt;=DATE(2029,7,31)),MIN(Assumptions!G57,MAX(0,((('Consolidated P&amp;L'!Y23+'Consolidated P&amp;L'!Z23+'Consolidated P&amp;L'!AA23+'Consolidated P&amp;L'!AB23+'Consolidated P&amp;L'!AC23+'Consolidated P&amp;L'!AD23+'Consolidated P&amp;L'!AE23+'Consolidated P&amp;L'!AF23+'Consolidated P&amp;L'!AG23+'Consolidated P&amp;L'!AH23+'Consolidated P&amp;L'!AI23+'Consolidated P&amp;L'!AJ23)*12/12+Assumptions!H57)*Assumptions!B8)-AJ5)),0)</f>
        <v/>
      </c>
      <c r="AK13" s="156">
        <f>IF(AND(Assumptions!B57&lt;&gt;"",IFERROR(DATEVALUE(TEXT(Assumptions!B57,"MM/DD/YYYY")),0)&gt;=DATE(2029,8,1),IFERROR(DATEVALUE(TEXT(Assumptions!B57,"MM/DD/YYYY")),0)&lt;=DATE(2029,8,31)),MIN(Assumptions!G57,MAX(0,((('Consolidated P&amp;L'!Z23+'Consolidated P&amp;L'!AA23+'Consolidated P&amp;L'!AB23+'Consolidated P&amp;L'!AC23+'Consolidated P&amp;L'!AD23+'Consolidated P&amp;L'!AE23+'Consolidated P&amp;L'!AF23+'Consolidated P&amp;L'!AG23+'Consolidated P&amp;L'!AH23+'Consolidated P&amp;L'!AI23+'Consolidated P&amp;L'!AJ23+'Consolidated P&amp;L'!AK23)*12/12+Assumptions!H57)*Assumptions!B8)-AK5)),0)</f>
        <v/>
      </c>
      <c r="AL13" s="156">
        <f>IF(AND(Assumptions!B57&lt;&gt;"",IFERROR(DATEVALUE(TEXT(Assumptions!B57,"MM/DD/YYYY")),0)&gt;=DATE(2029,9,1),IFERROR(DATEVALUE(TEXT(Assumptions!B57,"MM/DD/YYYY")),0)&lt;=DATE(2029,9,30)),MIN(Assumptions!G57,MAX(0,((('Consolidated P&amp;L'!AA23+'Consolidated P&amp;L'!AB23+'Consolidated P&amp;L'!AC23+'Consolidated P&amp;L'!AD23+'Consolidated P&amp;L'!AE23+'Consolidated P&amp;L'!AF23+'Consolidated P&amp;L'!AG23+'Consolidated P&amp;L'!AH23+'Consolidated P&amp;L'!AI23+'Consolidated P&amp;L'!AJ23+'Consolidated P&amp;L'!AK23+'Consolidated P&amp;L'!AL23)*12/12+Assumptions!H57)*Assumptions!B8)-AL5)),0)</f>
        <v/>
      </c>
      <c r="AM13" s="156">
        <f>IF(AND(Assumptions!B57&lt;&gt;"",IFERROR(DATEVALUE(TEXT(Assumptions!B57,"MM/DD/YYYY")),0)&gt;=DATE(2029,10,1),IFERROR(DATEVALUE(TEXT(Assumptions!B57,"MM/DD/YYYY")),0)&lt;=DATE(2029,10,31)),MIN(Assumptions!G57,MAX(0,((('Consolidated P&amp;L'!AB23+'Consolidated P&amp;L'!AC23+'Consolidated P&amp;L'!AD23+'Consolidated P&amp;L'!AE23+'Consolidated P&amp;L'!AF23+'Consolidated P&amp;L'!AG23+'Consolidated P&amp;L'!AH23+'Consolidated P&amp;L'!AI23+'Consolidated P&amp;L'!AJ23+'Consolidated P&amp;L'!AK23+'Consolidated P&amp;L'!AL23+'Consolidated P&amp;L'!AM23)*12/12+Assumptions!H57)*Assumptions!B8)-AM5)),0)</f>
        <v/>
      </c>
      <c r="AN13" s="156">
        <f>IF(AND(Assumptions!B57&lt;&gt;"",IFERROR(DATEVALUE(TEXT(Assumptions!B57,"MM/DD/YYYY")),0)&gt;=DATE(2029,11,1),IFERROR(DATEVALUE(TEXT(Assumptions!B57,"MM/DD/YYYY")),0)&lt;=DATE(2029,11,30)),MIN(Assumptions!G57,MAX(0,((('Consolidated P&amp;L'!AC23+'Consolidated P&amp;L'!AD23+'Consolidated P&amp;L'!AE23+'Consolidated P&amp;L'!AF23+'Consolidated P&amp;L'!AG23+'Consolidated P&amp;L'!AH23+'Consolidated P&amp;L'!AI23+'Consolidated P&amp;L'!AJ23+'Consolidated P&amp;L'!AK23+'Consolidated P&amp;L'!AL23+'Consolidated P&amp;L'!AM23+'Consolidated P&amp;L'!AN23)*12/12+Assumptions!H57)*Assumptions!B8)-AN5)),0)</f>
        <v/>
      </c>
      <c r="AO13" s="156">
        <f>IF(AND(Assumptions!B57&lt;&gt;"",IFERROR(DATEVALUE(TEXT(Assumptions!B57,"MM/DD/YYYY")),0)&gt;=DATE(2029,12,1),IFERROR(DATEVALUE(TEXT(Assumptions!B57,"MM/DD/YYYY")),0)&lt;=DATE(2029,12,31)),MIN(Assumptions!G57,MAX(0,((('Consolidated P&amp;L'!AD23+'Consolidated P&amp;L'!AE23+'Consolidated P&amp;L'!AF23+'Consolidated P&amp;L'!AG23+'Consolidated P&amp;L'!AH23+'Consolidated P&amp;L'!AI23+'Consolidated P&amp;L'!AJ23+'Consolidated P&amp;L'!AK23+'Consolidated P&amp;L'!AL23+'Consolidated P&amp;L'!AM23+'Consolidated P&amp;L'!AN23+'Consolidated P&amp;L'!AO23)*12/12+Assumptions!H57)*Assumptions!B8)-AO5)),0)</f>
        <v/>
      </c>
      <c r="AP13" s="156">
        <f>IF(AND(Assumptions!B57&lt;&gt;"",IFERROR(DATEVALUE(TEXT(Assumptions!B57,"MM/DD/YYYY")),0)&gt;=DATE(2030,1,1),IFERROR(DATEVALUE(TEXT(Assumptions!B57,"MM/DD/YYYY")),0)&lt;=DATE(2030,1,31)),MIN(Assumptions!G57,MAX(0,((('Consolidated P&amp;L'!AE23+'Consolidated P&amp;L'!AF23+'Consolidated P&amp;L'!AG23+'Consolidated P&amp;L'!AH23+'Consolidated P&amp;L'!AI23+'Consolidated P&amp;L'!AJ23+'Consolidated P&amp;L'!AK23+'Consolidated P&amp;L'!AL23+'Consolidated P&amp;L'!AM23+'Consolidated P&amp;L'!AN23+'Consolidated P&amp;L'!AO23+'Consolidated P&amp;L'!AP23)*12/12+Assumptions!H57)*Assumptions!B8)-AP5)),0)</f>
        <v/>
      </c>
      <c r="AQ13" s="156">
        <f>IF(AND(Assumptions!B57&lt;&gt;"",IFERROR(DATEVALUE(TEXT(Assumptions!B57,"MM/DD/YYYY")),0)&gt;=DATE(2030,2,1),IFERROR(DATEVALUE(TEXT(Assumptions!B57,"MM/DD/YYYY")),0)&lt;=DATE(2030,2,28)),MIN(Assumptions!G57,MAX(0,((('Consolidated P&amp;L'!AF23+'Consolidated P&amp;L'!AG23+'Consolidated P&amp;L'!AH23+'Consolidated P&amp;L'!AI23+'Consolidated P&amp;L'!AJ23+'Consolidated P&amp;L'!AK23+'Consolidated P&amp;L'!AL23+'Consolidated P&amp;L'!AM23+'Consolidated P&amp;L'!AN23+'Consolidated P&amp;L'!AO23+'Consolidated P&amp;L'!AP23+'Consolidated P&amp;L'!AQ23)*12/12+Assumptions!H57)*Assumptions!B8)-AQ5)),0)</f>
        <v/>
      </c>
      <c r="AR13" s="156">
        <f>IF(AND(Assumptions!B57&lt;&gt;"",IFERROR(DATEVALUE(TEXT(Assumptions!B57,"MM/DD/YYYY")),0)&gt;=DATE(2030,3,1),IFERROR(DATEVALUE(TEXT(Assumptions!B57,"MM/DD/YYYY")),0)&lt;=DATE(2030,3,31)),MIN(Assumptions!G57,MAX(0,((('Consolidated P&amp;L'!AG23+'Consolidated P&amp;L'!AH23+'Consolidated P&amp;L'!AI23+'Consolidated P&amp;L'!AJ23+'Consolidated P&amp;L'!AK23+'Consolidated P&amp;L'!AL23+'Consolidated P&amp;L'!AM23+'Consolidated P&amp;L'!AN23+'Consolidated P&amp;L'!AO23+'Consolidated P&amp;L'!AP23+'Consolidated P&amp;L'!AQ23+'Consolidated P&amp;L'!AR23)*12/12+Assumptions!H57)*Assumptions!B8)-AR5)),0)</f>
        <v/>
      </c>
      <c r="AS13" s="156">
        <f>IF(AND(Assumptions!B57&lt;&gt;"",IFERROR(DATEVALUE(TEXT(Assumptions!B57,"MM/DD/YYYY")),0)&gt;=DATE(2030,4,1),IFERROR(DATEVALUE(TEXT(Assumptions!B57,"MM/DD/YYYY")),0)&lt;=DATE(2030,4,30)),MIN(Assumptions!G57,MAX(0,((('Consolidated P&amp;L'!AH23+'Consolidated P&amp;L'!AI23+'Consolidated P&amp;L'!AJ23+'Consolidated P&amp;L'!AK23+'Consolidated P&amp;L'!AL23+'Consolidated P&amp;L'!AM23+'Consolidated P&amp;L'!AN23+'Consolidated P&amp;L'!AO23+'Consolidated P&amp;L'!AP23+'Consolidated P&amp;L'!AQ23+'Consolidated P&amp;L'!AR23+'Consolidated P&amp;L'!AS23)*12/12+Assumptions!H57)*Assumptions!B8)-AS5)),0)</f>
        <v/>
      </c>
      <c r="AT13" s="156">
        <f>IF(AND(Assumptions!B57&lt;&gt;"",IFERROR(DATEVALUE(TEXT(Assumptions!B57,"MM/DD/YYYY")),0)&gt;=DATE(2030,5,1),IFERROR(DATEVALUE(TEXT(Assumptions!B57,"MM/DD/YYYY")),0)&lt;=DATE(2030,5,31)),MIN(Assumptions!G57,MAX(0,((('Consolidated P&amp;L'!AI23+'Consolidated P&amp;L'!AJ23+'Consolidated P&amp;L'!AK23+'Consolidated P&amp;L'!AL23+'Consolidated P&amp;L'!AM23+'Consolidated P&amp;L'!AN23+'Consolidated P&amp;L'!AO23+'Consolidated P&amp;L'!AP23+'Consolidated P&amp;L'!AQ23+'Consolidated P&amp;L'!AR23+'Consolidated P&amp;L'!AS23+'Consolidated P&amp;L'!AT23)*12/12+Assumptions!H57)*Assumptions!B8)-AT5)),0)</f>
        <v/>
      </c>
      <c r="AU13" s="156">
        <f>IF(AND(Assumptions!B57&lt;&gt;"",IFERROR(DATEVALUE(TEXT(Assumptions!B57,"MM/DD/YYYY")),0)&gt;=DATE(2030,6,1),IFERROR(DATEVALUE(TEXT(Assumptions!B57,"MM/DD/YYYY")),0)&lt;=DATE(2030,6,30)),MIN(Assumptions!G57,MAX(0,((('Consolidated P&amp;L'!AJ23+'Consolidated P&amp;L'!AK23+'Consolidated P&amp;L'!AL23+'Consolidated P&amp;L'!AM23+'Consolidated P&amp;L'!AN23+'Consolidated P&amp;L'!AO23+'Consolidated P&amp;L'!AP23+'Consolidated P&amp;L'!AQ23+'Consolidated P&amp;L'!AR23+'Consolidated P&amp;L'!AS23+'Consolidated P&amp;L'!AT23+'Consolidated P&amp;L'!AU23)*12/12+Assumptions!H57)*Assumptions!B8)-AU5)),0)</f>
        <v/>
      </c>
      <c r="AV13" s="156">
        <f>IF(AND(Assumptions!B57&lt;&gt;"",IFERROR(DATEVALUE(TEXT(Assumptions!B57,"MM/DD/YYYY")),0)&gt;=DATE(2030,7,1),IFERROR(DATEVALUE(TEXT(Assumptions!B57,"MM/DD/YYYY")),0)&lt;=DATE(2030,7,31)),MIN(Assumptions!G57,MAX(0,((('Consolidated P&amp;L'!AK23+'Consolidated P&amp;L'!AL23+'Consolidated P&amp;L'!AM23+'Consolidated P&amp;L'!AN23+'Consolidated P&amp;L'!AO23+'Consolidated P&amp;L'!AP23+'Consolidated P&amp;L'!AQ23+'Consolidated P&amp;L'!AR23+'Consolidated P&amp;L'!AS23+'Consolidated P&amp;L'!AT23+'Consolidated P&amp;L'!AU23+'Consolidated P&amp;L'!AV23)*12/12+Assumptions!H57)*Assumptions!B8)-AV5)),0)</f>
        <v/>
      </c>
      <c r="AW13" s="156">
        <f>IF(AND(Assumptions!B57&lt;&gt;"",IFERROR(DATEVALUE(TEXT(Assumptions!B57,"MM/DD/YYYY")),0)&gt;=DATE(2030,8,1),IFERROR(DATEVALUE(TEXT(Assumptions!B57,"MM/DD/YYYY")),0)&lt;=DATE(2030,8,31)),MIN(Assumptions!G57,MAX(0,((('Consolidated P&amp;L'!AL23+'Consolidated P&amp;L'!AM23+'Consolidated P&amp;L'!AN23+'Consolidated P&amp;L'!AO23+'Consolidated P&amp;L'!AP23+'Consolidated P&amp;L'!AQ23+'Consolidated P&amp;L'!AR23+'Consolidated P&amp;L'!AS23+'Consolidated P&amp;L'!AT23+'Consolidated P&amp;L'!AU23+'Consolidated P&amp;L'!AV23+'Consolidated P&amp;L'!AW23)*12/12+Assumptions!H57)*Assumptions!B8)-AW5)),0)</f>
        <v/>
      </c>
      <c r="AX13" s="156">
        <f>IF(AND(Assumptions!B57&lt;&gt;"",IFERROR(DATEVALUE(TEXT(Assumptions!B57,"MM/DD/YYYY")),0)&gt;=DATE(2030,9,1),IFERROR(DATEVALUE(TEXT(Assumptions!B57,"MM/DD/YYYY")),0)&lt;=DATE(2030,9,30)),MIN(Assumptions!G57,MAX(0,((('Consolidated P&amp;L'!AM23+'Consolidated P&amp;L'!AN23+'Consolidated P&amp;L'!AO23+'Consolidated P&amp;L'!AP23+'Consolidated P&amp;L'!AQ23+'Consolidated P&amp;L'!AR23+'Consolidated P&amp;L'!AS23+'Consolidated P&amp;L'!AT23+'Consolidated P&amp;L'!AU23+'Consolidated P&amp;L'!AV23+'Consolidated P&amp;L'!AW23+'Consolidated P&amp;L'!AX23)*12/12+Assumptions!H57)*Assumptions!B8)-AX5)),0)</f>
        <v/>
      </c>
      <c r="AY13" s="156">
        <f>IF(AND(Assumptions!B57&lt;&gt;"",IFERROR(DATEVALUE(TEXT(Assumptions!B57,"MM/DD/YYYY")),0)&gt;=DATE(2030,10,1),IFERROR(DATEVALUE(TEXT(Assumptions!B57,"MM/DD/YYYY")),0)&lt;=DATE(2030,10,31)),MIN(Assumptions!G57,MAX(0,((('Consolidated P&amp;L'!AN23+'Consolidated P&amp;L'!AO23+'Consolidated P&amp;L'!AP23+'Consolidated P&amp;L'!AQ23+'Consolidated P&amp;L'!AR23+'Consolidated P&amp;L'!AS23+'Consolidated P&amp;L'!AT23+'Consolidated P&amp;L'!AU23+'Consolidated P&amp;L'!AV23+'Consolidated P&amp;L'!AW23+'Consolidated P&amp;L'!AX23+'Consolidated P&amp;L'!AY23)*12/12+Assumptions!H57)*Assumptions!B8)-AY5)),0)</f>
        <v/>
      </c>
      <c r="AZ13" s="156">
        <f>IF(AND(Assumptions!B57&lt;&gt;"",IFERROR(DATEVALUE(TEXT(Assumptions!B57,"MM/DD/YYYY")),0)&gt;=DATE(2030,11,1),IFERROR(DATEVALUE(TEXT(Assumptions!B57,"MM/DD/YYYY")),0)&lt;=DATE(2030,11,30)),MIN(Assumptions!G57,MAX(0,((('Consolidated P&amp;L'!AO23+'Consolidated P&amp;L'!AP23+'Consolidated P&amp;L'!AQ23+'Consolidated P&amp;L'!AR23+'Consolidated P&amp;L'!AS23+'Consolidated P&amp;L'!AT23+'Consolidated P&amp;L'!AU23+'Consolidated P&amp;L'!AV23+'Consolidated P&amp;L'!AW23+'Consolidated P&amp;L'!AX23+'Consolidated P&amp;L'!AY23+'Consolidated P&amp;L'!AZ23)*12/12+Assumptions!H57)*Assumptions!B8)-AZ5)),0)</f>
        <v/>
      </c>
      <c r="BA13" s="156">
        <f>IF(AND(Assumptions!B57&lt;&gt;"",IFERROR(DATEVALUE(TEXT(Assumptions!B57,"MM/DD/YYYY")),0)&gt;=DATE(2030,12,1),IFERROR(DATEVALUE(TEXT(Assumptions!B57,"MM/DD/YYYY")),0)&lt;=DATE(2030,12,31)),MIN(Assumptions!G57,MAX(0,((('Consolidated P&amp;L'!AP23+'Consolidated P&amp;L'!AQ23+'Consolidated P&amp;L'!AR23+'Consolidated P&amp;L'!AS23+'Consolidated P&amp;L'!AT23+'Consolidated P&amp;L'!AU23+'Consolidated P&amp;L'!AV23+'Consolidated P&amp;L'!AW23+'Consolidated P&amp;L'!AX23+'Consolidated P&amp;L'!AY23+'Consolidated P&amp;L'!AZ23+'Consolidated P&amp;L'!BA23)*12/12+Assumptions!H57)*Assumptions!B8)-BA5)),0)</f>
        <v/>
      </c>
      <c r="BB13" s="156">
        <f>IF(AND(Assumptions!B57&lt;&gt;"",IFERROR(DATEVALUE(TEXT(Assumptions!B57,"MM/DD/YYYY")),0)&gt;=DATE(2031,1,1),IFERROR(DATEVALUE(TEXT(Assumptions!B57,"MM/DD/YYYY")),0)&lt;=DATE(2031,1,31)),MIN(Assumptions!G57,MAX(0,((('Consolidated P&amp;L'!AQ23+'Consolidated P&amp;L'!AR23+'Consolidated P&amp;L'!AS23+'Consolidated P&amp;L'!AT23+'Consolidated P&amp;L'!AU23+'Consolidated P&amp;L'!AV23+'Consolidated P&amp;L'!AW23+'Consolidated P&amp;L'!AX23+'Consolidated P&amp;L'!AY23+'Consolidated P&amp;L'!AZ23+'Consolidated P&amp;L'!BA23+'Consolidated P&amp;L'!BB23)*12/12+Assumptions!H57)*Assumptions!B8)-BB5)),0)</f>
        <v/>
      </c>
      <c r="BC13" s="156">
        <f>IF(AND(Assumptions!B57&lt;&gt;"",IFERROR(DATEVALUE(TEXT(Assumptions!B57,"MM/DD/YYYY")),0)&gt;=DATE(2031,2,1),IFERROR(DATEVALUE(TEXT(Assumptions!B57,"MM/DD/YYYY")),0)&lt;=DATE(2031,2,28)),MIN(Assumptions!G57,MAX(0,((('Consolidated P&amp;L'!AR23+'Consolidated P&amp;L'!AS23+'Consolidated P&amp;L'!AT23+'Consolidated P&amp;L'!AU23+'Consolidated P&amp;L'!AV23+'Consolidated P&amp;L'!AW23+'Consolidated P&amp;L'!AX23+'Consolidated P&amp;L'!AY23+'Consolidated P&amp;L'!AZ23+'Consolidated P&amp;L'!BA23+'Consolidated P&amp;L'!BB23+'Consolidated P&amp;L'!BC23)*12/12+Assumptions!H57)*Assumptions!B8)-BC5)),0)</f>
        <v/>
      </c>
      <c r="BD13" s="156">
        <f>IF(AND(Assumptions!B57&lt;&gt;"",IFERROR(DATEVALUE(TEXT(Assumptions!B57,"MM/DD/YYYY")),0)&gt;=DATE(2031,3,1),IFERROR(DATEVALUE(TEXT(Assumptions!B57,"MM/DD/YYYY")),0)&lt;=DATE(2031,3,31)),MIN(Assumptions!G57,MAX(0,((('Consolidated P&amp;L'!AS23+'Consolidated P&amp;L'!AT23+'Consolidated P&amp;L'!AU23+'Consolidated P&amp;L'!AV23+'Consolidated P&amp;L'!AW23+'Consolidated P&amp;L'!AX23+'Consolidated P&amp;L'!AY23+'Consolidated P&amp;L'!AZ23+'Consolidated P&amp;L'!BA23+'Consolidated P&amp;L'!BB23+'Consolidated P&amp;L'!BC23+'Consolidated P&amp;L'!BD23)*12/12+Assumptions!H57)*Assumptions!B8)-BD5)),0)</f>
        <v/>
      </c>
      <c r="BE13" s="156">
        <f>IF(AND(Assumptions!B57&lt;&gt;"",IFERROR(DATEVALUE(TEXT(Assumptions!B57,"MM/DD/YYYY")),0)&gt;=DATE(2031,4,1),IFERROR(DATEVALUE(TEXT(Assumptions!B57,"MM/DD/YYYY")),0)&lt;=DATE(2031,4,30)),MIN(Assumptions!G57,MAX(0,((('Consolidated P&amp;L'!AT23+'Consolidated P&amp;L'!AU23+'Consolidated P&amp;L'!AV23+'Consolidated P&amp;L'!AW23+'Consolidated P&amp;L'!AX23+'Consolidated P&amp;L'!AY23+'Consolidated P&amp;L'!AZ23+'Consolidated P&amp;L'!BA23+'Consolidated P&amp;L'!BB23+'Consolidated P&amp;L'!BC23+'Consolidated P&amp;L'!BD23+'Consolidated P&amp;L'!BE23)*12/12+Assumptions!H57)*Assumptions!B8)-BE5)),0)</f>
        <v/>
      </c>
      <c r="BF13" s="156">
        <f>IF(AND(Assumptions!B57&lt;&gt;"",IFERROR(DATEVALUE(TEXT(Assumptions!B57,"MM/DD/YYYY")),0)&gt;=DATE(2031,5,1),IFERROR(DATEVALUE(TEXT(Assumptions!B57,"MM/DD/YYYY")),0)&lt;=DATE(2031,5,31)),MIN(Assumptions!G57,MAX(0,((('Consolidated P&amp;L'!AU23+'Consolidated P&amp;L'!AV23+'Consolidated P&amp;L'!AW23+'Consolidated P&amp;L'!AX23+'Consolidated P&amp;L'!AY23+'Consolidated P&amp;L'!AZ23+'Consolidated P&amp;L'!BA23+'Consolidated P&amp;L'!BB23+'Consolidated P&amp;L'!BC23+'Consolidated P&amp;L'!BD23+'Consolidated P&amp;L'!BE23+'Consolidated P&amp;L'!BF23)*12/12+Assumptions!H57)*Assumptions!B8)-BF5)),0)</f>
        <v/>
      </c>
      <c r="BG13" s="156">
        <f>IF(AND(Assumptions!B57&lt;&gt;"",IFERROR(DATEVALUE(TEXT(Assumptions!B57,"MM/DD/YYYY")),0)&gt;=DATE(2031,6,1),IFERROR(DATEVALUE(TEXT(Assumptions!B57,"MM/DD/YYYY")),0)&lt;=DATE(2031,6,30)),MIN(Assumptions!G57,MAX(0,((('Consolidated P&amp;L'!AV23+'Consolidated P&amp;L'!AW23+'Consolidated P&amp;L'!AX23+'Consolidated P&amp;L'!AY23+'Consolidated P&amp;L'!AZ23+'Consolidated P&amp;L'!BA23+'Consolidated P&amp;L'!BB23+'Consolidated P&amp;L'!BC23+'Consolidated P&amp;L'!BD23+'Consolidated P&amp;L'!BE23+'Consolidated P&amp;L'!BF23+'Consolidated P&amp;L'!BG23)*12/12+Assumptions!H57)*Assumptions!B8)-BG5)),0)</f>
        <v/>
      </c>
      <c r="BH13" s="156">
        <f>IF(AND(Assumptions!B57&lt;&gt;"",IFERROR(DATEVALUE(TEXT(Assumptions!B57,"MM/DD/YYYY")),0)&gt;=DATE(2031,7,1),IFERROR(DATEVALUE(TEXT(Assumptions!B57,"MM/DD/YYYY")),0)&lt;=DATE(2031,7,31)),MIN(Assumptions!G57,MAX(0,((('Consolidated P&amp;L'!AW23+'Consolidated P&amp;L'!AX23+'Consolidated P&amp;L'!AY23+'Consolidated P&amp;L'!AZ23+'Consolidated P&amp;L'!BA23+'Consolidated P&amp;L'!BB23+'Consolidated P&amp;L'!BC23+'Consolidated P&amp;L'!BD23+'Consolidated P&amp;L'!BE23+'Consolidated P&amp;L'!BF23+'Consolidated P&amp;L'!BG23+'Consolidated P&amp;L'!BH23)*12/12+Assumptions!H57)*Assumptions!B8)-BH5)),0)</f>
        <v/>
      </c>
      <c r="BI13" s="156">
        <f>IF(AND(Assumptions!B57&lt;&gt;"",IFERROR(DATEVALUE(TEXT(Assumptions!B57,"MM/DD/YYYY")),0)&gt;=DATE(2031,8,1),IFERROR(DATEVALUE(TEXT(Assumptions!B57,"MM/DD/YYYY")),0)&lt;=DATE(2031,8,31)),MIN(Assumptions!G57,MAX(0,((('Consolidated P&amp;L'!AX23+'Consolidated P&amp;L'!AY23+'Consolidated P&amp;L'!AZ23+'Consolidated P&amp;L'!BA23+'Consolidated P&amp;L'!BB23+'Consolidated P&amp;L'!BC23+'Consolidated P&amp;L'!BD23+'Consolidated P&amp;L'!BE23+'Consolidated P&amp;L'!BF23+'Consolidated P&amp;L'!BG23+'Consolidated P&amp;L'!BH23+'Consolidated P&amp;L'!BI23)*12/12+Assumptions!H57)*Assumptions!B8)-BI5)),0)</f>
        <v/>
      </c>
      <c r="BJ13" s="156">
        <f>IF(AND(Assumptions!B57&lt;&gt;"",IFERROR(DATEVALUE(TEXT(Assumptions!B57,"MM/DD/YYYY")),0)&gt;=DATE(2031,9,1),IFERROR(DATEVALUE(TEXT(Assumptions!B57,"MM/DD/YYYY")),0)&lt;=DATE(2031,9,30)),MIN(Assumptions!G57,MAX(0,((('Consolidated P&amp;L'!AY23+'Consolidated P&amp;L'!AZ23+'Consolidated P&amp;L'!BA23+'Consolidated P&amp;L'!BB23+'Consolidated P&amp;L'!BC23+'Consolidated P&amp;L'!BD23+'Consolidated P&amp;L'!BE23+'Consolidated P&amp;L'!BF23+'Consolidated P&amp;L'!BG23+'Consolidated P&amp;L'!BH23+'Consolidated P&amp;L'!BI23+'Consolidated P&amp;L'!BJ23)*12/12+Assumptions!H57)*Assumptions!B8)-BJ5)),0)</f>
        <v/>
      </c>
      <c r="BL13" s="157">
        <f>C13+D13+E13+F13+G13+H13+I13+J13+K13+L13+M13+N13</f>
        <v/>
      </c>
      <c r="BM13" s="157">
        <f>O13+P13+Q13+R13+S13+T13+U13+V13+W13+X13+Y13+Z13</f>
        <v/>
      </c>
      <c r="BN13" s="157">
        <f>AA13+AB13+AC13+AD13+AE13+AF13+AG13+AH13+AI13+AJ13+AK13+AL13</f>
        <v/>
      </c>
      <c r="BO13" s="157">
        <f>AM13+AN13+AO13+AP13+AQ13+AR13+AS13+AT13+AU13+AV13+AW13+AX13</f>
        <v/>
      </c>
      <c r="BP13" s="157">
        <f>AY13+AZ13+BA13+BB13+BC13+BD13+BE13+BF13+BG13+BH13+BI13+BJ13</f>
        <v/>
      </c>
    </row>
    <row r="14" ht="15" customHeight="1" s="104">
      <c r="A14" s="107" t="inlineStr">
        <is>
          <t xml:space="preserve">    Add-On 8 Debt Draw</t>
        </is>
      </c>
      <c r="C14" s="156">
        <f>IF(AND(Assumptions!B58&lt;&gt;"",IFERROR(DATEVALUE(TEXT(Assumptions!B58,"MM/DD/YYYY")),0)&gt;=DATE(2026,10,1),IFERROR(DATEVALUE(TEXT(Assumptions!B58,"MM/DD/YYYY")),0)&lt;=DATE(2026,10,31)),MIN(Assumptions!G58,MAX(0,((('Consolidated P&amp;L'!C23)*12/1+Assumptions!H58)*Assumptions!B8)-C5)),0)</f>
        <v/>
      </c>
      <c r="D14" s="156">
        <f>IF(AND(Assumptions!B58&lt;&gt;"",IFERROR(DATEVALUE(TEXT(Assumptions!B58,"MM/DD/YYYY")),0)&gt;=DATE(2026,11,1),IFERROR(DATEVALUE(TEXT(Assumptions!B58,"MM/DD/YYYY")),0)&lt;=DATE(2026,11,30)),MIN(Assumptions!G58,MAX(0,((('Consolidated P&amp;L'!C23+'Consolidated P&amp;L'!D23)*12/2+Assumptions!H58)*Assumptions!B8)-D5)),0)</f>
        <v/>
      </c>
      <c r="E14" s="156">
        <f>IF(AND(Assumptions!B58&lt;&gt;"",IFERROR(DATEVALUE(TEXT(Assumptions!B58,"MM/DD/YYYY")),0)&gt;=DATE(2026,12,1),IFERROR(DATEVALUE(TEXT(Assumptions!B58,"MM/DD/YYYY")),0)&lt;=DATE(2026,12,31)),MIN(Assumptions!G58,MAX(0,((('Consolidated P&amp;L'!C23+'Consolidated P&amp;L'!D23+'Consolidated P&amp;L'!E23)*12/3+Assumptions!H58)*Assumptions!B8)-E5)),0)</f>
        <v/>
      </c>
      <c r="F14" s="156">
        <f>IF(AND(Assumptions!B58&lt;&gt;"",IFERROR(DATEVALUE(TEXT(Assumptions!B58,"MM/DD/YYYY")),0)&gt;=DATE(2027,1,1),IFERROR(DATEVALUE(TEXT(Assumptions!B58,"MM/DD/YYYY")),0)&lt;=DATE(2027,1,31)),MIN(Assumptions!G58,MAX(0,((('Consolidated P&amp;L'!C23+'Consolidated P&amp;L'!D23+'Consolidated P&amp;L'!E23+'Consolidated P&amp;L'!F23)*12/4+Assumptions!H58)*Assumptions!B8)-F5)),0)</f>
        <v/>
      </c>
      <c r="G14" s="156">
        <f>IF(AND(Assumptions!B58&lt;&gt;"",IFERROR(DATEVALUE(TEXT(Assumptions!B58,"MM/DD/YYYY")),0)&gt;=DATE(2027,2,1),IFERROR(DATEVALUE(TEXT(Assumptions!B58,"MM/DD/YYYY")),0)&lt;=DATE(2027,2,28)),MIN(Assumptions!G58,MAX(0,((('Consolidated P&amp;L'!C23+'Consolidated P&amp;L'!D23+'Consolidated P&amp;L'!E23+'Consolidated P&amp;L'!F23+'Consolidated P&amp;L'!G23)*12/5+Assumptions!H58)*Assumptions!B8)-G5)),0)</f>
        <v/>
      </c>
      <c r="H14" s="156">
        <f>IF(AND(Assumptions!B58&lt;&gt;"",IFERROR(DATEVALUE(TEXT(Assumptions!B58,"MM/DD/YYYY")),0)&gt;=DATE(2027,3,1),IFERROR(DATEVALUE(TEXT(Assumptions!B58,"MM/DD/YYYY")),0)&lt;=DATE(2027,3,31)),MIN(Assumptions!G58,MAX(0,((('Consolidated P&amp;L'!C23+'Consolidated P&amp;L'!D23+'Consolidated P&amp;L'!E23+'Consolidated P&amp;L'!F23+'Consolidated P&amp;L'!G23+'Consolidated P&amp;L'!H23)*12/6+Assumptions!H58)*Assumptions!B8)-H5)),0)</f>
        <v/>
      </c>
      <c r="I14" s="156">
        <f>IF(AND(Assumptions!B58&lt;&gt;"",IFERROR(DATEVALUE(TEXT(Assumptions!B58,"MM/DD/YYYY")),0)&gt;=DATE(2027,4,1),IFERROR(DATEVALUE(TEXT(Assumptions!B58,"MM/DD/YYYY")),0)&lt;=DATE(2027,4,30)),MIN(Assumptions!G58,MAX(0,((('Consolidated P&amp;L'!C23+'Consolidated P&amp;L'!D23+'Consolidated P&amp;L'!E23+'Consolidated P&amp;L'!F23+'Consolidated P&amp;L'!G23+'Consolidated P&amp;L'!H23+'Consolidated P&amp;L'!I23)*12/7+Assumptions!H58)*Assumptions!B8)-I5)),0)</f>
        <v/>
      </c>
      <c r="J14" s="156">
        <f>IF(AND(Assumptions!B58&lt;&gt;"",IFERROR(DATEVALUE(TEXT(Assumptions!B58,"MM/DD/YYYY")),0)&gt;=DATE(2027,5,1),IFERROR(DATEVALUE(TEXT(Assumptions!B58,"MM/DD/YYYY")),0)&lt;=DATE(2027,5,31)),MIN(Assumptions!G58,MAX(0,((('Consolidated P&amp;L'!C23+'Consolidated P&amp;L'!D23+'Consolidated P&amp;L'!E23+'Consolidated P&amp;L'!F23+'Consolidated P&amp;L'!G23+'Consolidated P&amp;L'!H23+'Consolidated P&amp;L'!I23+'Consolidated P&amp;L'!J23)*12/8+Assumptions!H58)*Assumptions!B8)-J5)),0)</f>
        <v/>
      </c>
      <c r="K14" s="156">
        <f>IF(AND(Assumptions!B58&lt;&gt;"",IFERROR(DATEVALUE(TEXT(Assumptions!B58,"MM/DD/YYYY")),0)&gt;=DATE(2027,6,1),IFERROR(DATEVALUE(TEXT(Assumptions!B58,"MM/DD/YYYY")),0)&lt;=DATE(2027,6,30)),MIN(Assumptions!G58,MAX(0,((('Consolidated P&amp;L'!C23+'Consolidated P&amp;L'!D23+'Consolidated P&amp;L'!E23+'Consolidated P&amp;L'!F23+'Consolidated P&amp;L'!G23+'Consolidated P&amp;L'!H23+'Consolidated P&amp;L'!I23+'Consolidated P&amp;L'!J23+'Consolidated P&amp;L'!K23)*12/9+Assumptions!H58)*Assumptions!B8)-K5)),0)</f>
        <v/>
      </c>
      <c r="L14" s="156">
        <f>IF(AND(Assumptions!B58&lt;&gt;"",IFERROR(DATEVALUE(TEXT(Assumptions!B58,"MM/DD/YYYY")),0)&gt;=DATE(2027,7,1),IFERROR(DATEVALUE(TEXT(Assumptions!B58,"MM/DD/YYYY")),0)&lt;=DATE(2027,7,31)),MIN(Assumptions!G58,MAX(0,((('Consolidated P&amp;L'!C23+'Consolidated P&amp;L'!D23+'Consolidated P&amp;L'!E23+'Consolidated P&amp;L'!F23+'Consolidated P&amp;L'!G23+'Consolidated P&amp;L'!H23+'Consolidated P&amp;L'!I23+'Consolidated P&amp;L'!J23+'Consolidated P&amp;L'!K23+'Consolidated P&amp;L'!L23)*12/10+Assumptions!H58)*Assumptions!B8)-L5)),0)</f>
        <v/>
      </c>
      <c r="M14" s="156">
        <f>IF(AND(Assumptions!B58&lt;&gt;"",IFERROR(DATEVALUE(TEXT(Assumptions!B58,"MM/DD/YYYY")),0)&gt;=DATE(2027,8,1),IFERROR(DATEVALUE(TEXT(Assumptions!B58,"MM/DD/YYYY")),0)&lt;=DATE(2027,8,31)),MIN(Assumptions!G58,MAX(0,((('Consolidated P&amp;L'!C23+'Consolidated P&amp;L'!D23+'Consolidated P&amp;L'!E23+'Consolidated P&amp;L'!F23+'Consolidated P&amp;L'!G23+'Consolidated P&amp;L'!H23+'Consolidated P&amp;L'!I23+'Consolidated P&amp;L'!J23+'Consolidated P&amp;L'!K23+'Consolidated P&amp;L'!L23+'Consolidated P&amp;L'!M23)*12/11+Assumptions!H58)*Assumptions!B8)-M5)),0)</f>
        <v/>
      </c>
      <c r="N14" s="156">
        <f>IF(AND(Assumptions!B58&lt;&gt;"",IFERROR(DATEVALUE(TEXT(Assumptions!B58,"MM/DD/YYYY")),0)&gt;=DATE(2027,9,1),IFERROR(DATEVALUE(TEXT(Assumptions!B58,"MM/DD/YYYY")),0)&lt;=DATE(2027,9,30)),MIN(Assumptions!G58,MAX(0,((('Consolidated P&amp;L'!C23+'Consolidated P&amp;L'!D23+'Consolidated P&amp;L'!E23+'Consolidated P&amp;L'!F23+'Consolidated P&amp;L'!G23+'Consolidated P&amp;L'!H23+'Consolidated P&amp;L'!I23+'Consolidated P&amp;L'!J23+'Consolidated P&amp;L'!K23+'Consolidated P&amp;L'!L23+'Consolidated P&amp;L'!M23+'Consolidated P&amp;L'!N23)*12/12+Assumptions!H58)*Assumptions!B8)-N5)),0)</f>
        <v/>
      </c>
      <c r="O14" s="156">
        <f>IF(AND(Assumptions!B58&lt;&gt;"",IFERROR(DATEVALUE(TEXT(Assumptions!B58,"MM/DD/YYYY")),0)&gt;=DATE(2027,10,1),IFERROR(DATEVALUE(TEXT(Assumptions!B58,"MM/DD/YYYY")),0)&lt;=DATE(2027,10,31)),MIN(Assumptions!G58,MAX(0,((('Consolidated P&amp;L'!D23+'Consolidated P&amp;L'!E23+'Consolidated P&amp;L'!F23+'Consolidated P&amp;L'!G23+'Consolidated P&amp;L'!H23+'Consolidated P&amp;L'!I23+'Consolidated P&amp;L'!J23+'Consolidated P&amp;L'!K23+'Consolidated P&amp;L'!L23+'Consolidated P&amp;L'!M23+'Consolidated P&amp;L'!N23+'Consolidated P&amp;L'!O23)*12/12+Assumptions!H58)*Assumptions!B8)-O5)),0)</f>
        <v/>
      </c>
      <c r="P14" s="156">
        <f>IF(AND(Assumptions!B58&lt;&gt;"",IFERROR(DATEVALUE(TEXT(Assumptions!B58,"MM/DD/YYYY")),0)&gt;=DATE(2027,11,1),IFERROR(DATEVALUE(TEXT(Assumptions!B58,"MM/DD/YYYY")),0)&lt;=DATE(2027,11,30)),MIN(Assumptions!G58,MAX(0,((('Consolidated P&amp;L'!E23+'Consolidated P&amp;L'!F23+'Consolidated P&amp;L'!G23+'Consolidated P&amp;L'!H23+'Consolidated P&amp;L'!I23+'Consolidated P&amp;L'!J23+'Consolidated P&amp;L'!K23+'Consolidated P&amp;L'!L23+'Consolidated P&amp;L'!M23+'Consolidated P&amp;L'!N23+'Consolidated P&amp;L'!O23+'Consolidated P&amp;L'!P23)*12/12+Assumptions!H58)*Assumptions!B8)-P5)),0)</f>
        <v/>
      </c>
      <c r="Q14" s="156">
        <f>IF(AND(Assumptions!B58&lt;&gt;"",IFERROR(DATEVALUE(TEXT(Assumptions!B58,"MM/DD/YYYY")),0)&gt;=DATE(2027,12,1),IFERROR(DATEVALUE(TEXT(Assumptions!B58,"MM/DD/YYYY")),0)&lt;=DATE(2027,12,31)),MIN(Assumptions!G58,MAX(0,((('Consolidated P&amp;L'!F23+'Consolidated P&amp;L'!G23+'Consolidated P&amp;L'!H23+'Consolidated P&amp;L'!I23+'Consolidated P&amp;L'!J23+'Consolidated P&amp;L'!K23+'Consolidated P&amp;L'!L23+'Consolidated P&amp;L'!M23+'Consolidated P&amp;L'!N23+'Consolidated P&amp;L'!O23+'Consolidated P&amp;L'!P23+'Consolidated P&amp;L'!Q23)*12/12+Assumptions!H58)*Assumptions!B8)-Q5)),0)</f>
        <v/>
      </c>
      <c r="R14" s="156">
        <f>IF(AND(Assumptions!B58&lt;&gt;"",IFERROR(DATEVALUE(TEXT(Assumptions!B58,"MM/DD/YYYY")),0)&gt;=DATE(2028,1,1),IFERROR(DATEVALUE(TEXT(Assumptions!B58,"MM/DD/YYYY")),0)&lt;=DATE(2028,1,31)),MIN(Assumptions!G58,MAX(0,((('Consolidated P&amp;L'!G23+'Consolidated P&amp;L'!H23+'Consolidated P&amp;L'!I23+'Consolidated P&amp;L'!J23+'Consolidated P&amp;L'!K23+'Consolidated P&amp;L'!L23+'Consolidated P&amp;L'!M23+'Consolidated P&amp;L'!N23+'Consolidated P&amp;L'!O23+'Consolidated P&amp;L'!P23+'Consolidated P&amp;L'!Q23+'Consolidated P&amp;L'!R23)*12/12+Assumptions!H58)*Assumptions!B8)-R5)),0)</f>
        <v/>
      </c>
      <c r="S14" s="156">
        <f>IF(AND(Assumptions!B58&lt;&gt;"",IFERROR(DATEVALUE(TEXT(Assumptions!B58,"MM/DD/YYYY")),0)&gt;=DATE(2028,2,1),IFERROR(DATEVALUE(TEXT(Assumptions!B58,"MM/DD/YYYY")),0)&lt;=DATE(2028,2,29)),MIN(Assumptions!G58,MAX(0,((('Consolidated P&amp;L'!H23+'Consolidated P&amp;L'!I23+'Consolidated P&amp;L'!J23+'Consolidated P&amp;L'!K23+'Consolidated P&amp;L'!L23+'Consolidated P&amp;L'!M23+'Consolidated P&amp;L'!N23+'Consolidated P&amp;L'!O23+'Consolidated P&amp;L'!P23+'Consolidated P&amp;L'!Q23+'Consolidated P&amp;L'!R23+'Consolidated P&amp;L'!S23)*12/12+Assumptions!H58)*Assumptions!B8)-S5)),0)</f>
        <v/>
      </c>
      <c r="T14" s="156">
        <f>IF(AND(Assumptions!B58&lt;&gt;"",IFERROR(DATEVALUE(TEXT(Assumptions!B58,"MM/DD/YYYY")),0)&gt;=DATE(2028,3,1),IFERROR(DATEVALUE(TEXT(Assumptions!B58,"MM/DD/YYYY")),0)&lt;=DATE(2028,3,31)),MIN(Assumptions!G58,MAX(0,((('Consolidated P&amp;L'!I23+'Consolidated P&amp;L'!J23+'Consolidated P&amp;L'!K23+'Consolidated P&amp;L'!L23+'Consolidated P&amp;L'!M23+'Consolidated P&amp;L'!N23+'Consolidated P&amp;L'!O23+'Consolidated P&amp;L'!P23+'Consolidated P&amp;L'!Q23+'Consolidated P&amp;L'!R23+'Consolidated P&amp;L'!S23+'Consolidated P&amp;L'!T23)*12/12+Assumptions!H58)*Assumptions!B8)-T5)),0)</f>
        <v/>
      </c>
      <c r="U14" s="156">
        <f>IF(AND(Assumptions!B58&lt;&gt;"",IFERROR(DATEVALUE(TEXT(Assumptions!B58,"MM/DD/YYYY")),0)&gt;=DATE(2028,4,1),IFERROR(DATEVALUE(TEXT(Assumptions!B58,"MM/DD/YYYY")),0)&lt;=DATE(2028,4,30)),MIN(Assumptions!G58,MAX(0,((('Consolidated P&amp;L'!J23+'Consolidated P&amp;L'!K23+'Consolidated P&amp;L'!L23+'Consolidated P&amp;L'!M23+'Consolidated P&amp;L'!N23+'Consolidated P&amp;L'!O23+'Consolidated P&amp;L'!P23+'Consolidated P&amp;L'!Q23+'Consolidated P&amp;L'!R23+'Consolidated P&amp;L'!S23+'Consolidated P&amp;L'!T23+'Consolidated P&amp;L'!U23)*12/12+Assumptions!H58)*Assumptions!B8)-U5)),0)</f>
        <v/>
      </c>
      <c r="V14" s="156">
        <f>IF(AND(Assumptions!B58&lt;&gt;"",IFERROR(DATEVALUE(TEXT(Assumptions!B58,"MM/DD/YYYY")),0)&gt;=DATE(2028,5,1),IFERROR(DATEVALUE(TEXT(Assumptions!B58,"MM/DD/YYYY")),0)&lt;=DATE(2028,5,31)),MIN(Assumptions!G58,MAX(0,((('Consolidated P&amp;L'!K23+'Consolidated P&amp;L'!L23+'Consolidated P&amp;L'!M23+'Consolidated P&amp;L'!N23+'Consolidated P&amp;L'!O23+'Consolidated P&amp;L'!P23+'Consolidated P&amp;L'!Q23+'Consolidated P&amp;L'!R23+'Consolidated P&amp;L'!S23+'Consolidated P&amp;L'!T23+'Consolidated P&amp;L'!U23+'Consolidated P&amp;L'!V23)*12/12+Assumptions!H58)*Assumptions!B8)-V5)),0)</f>
        <v/>
      </c>
      <c r="W14" s="156">
        <f>IF(AND(Assumptions!B58&lt;&gt;"",IFERROR(DATEVALUE(TEXT(Assumptions!B58,"MM/DD/YYYY")),0)&gt;=DATE(2028,6,1),IFERROR(DATEVALUE(TEXT(Assumptions!B58,"MM/DD/YYYY")),0)&lt;=DATE(2028,6,30)),MIN(Assumptions!G58,MAX(0,((('Consolidated P&amp;L'!L23+'Consolidated P&amp;L'!M23+'Consolidated P&amp;L'!N23+'Consolidated P&amp;L'!O23+'Consolidated P&amp;L'!P23+'Consolidated P&amp;L'!Q23+'Consolidated P&amp;L'!R23+'Consolidated P&amp;L'!S23+'Consolidated P&amp;L'!T23+'Consolidated P&amp;L'!U23+'Consolidated P&amp;L'!V23+'Consolidated P&amp;L'!W23)*12/12+Assumptions!H58)*Assumptions!B8)-W5)),0)</f>
        <v/>
      </c>
      <c r="X14" s="156">
        <f>IF(AND(Assumptions!B58&lt;&gt;"",IFERROR(DATEVALUE(TEXT(Assumptions!B58,"MM/DD/YYYY")),0)&gt;=DATE(2028,7,1),IFERROR(DATEVALUE(TEXT(Assumptions!B58,"MM/DD/YYYY")),0)&lt;=DATE(2028,7,31)),MIN(Assumptions!G58,MAX(0,((('Consolidated P&amp;L'!M23+'Consolidated P&amp;L'!N23+'Consolidated P&amp;L'!O23+'Consolidated P&amp;L'!P23+'Consolidated P&amp;L'!Q23+'Consolidated P&amp;L'!R23+'Consolidated P&amp;L'!S23+'Consolidated P&amp;L'!T23+'Consolidated P&amp;L'!U23+'Consolidated P&amp;L'!V23+'Consolidated P&amp;L'!W23+'Consolidated P&amp;L'!X23)*12/12+Assumptions!H58)*Assumptions!B8)-X5)),0)</f>
        <v/>
      </c>
      <c r="Y14" s="156">
        <f>IF(AND(Assumptions!B58&lt;&gt;"",IFERROR(DATEVALUE(TEXT(Assumptions!B58,"MM/DD/YYYY")),0)&gt;=DATE(2028,8,1),IFERROR(DATEVALUE(TEXT(Assumptions!B58,"MM/DD/YYYY")),0)&lt;=DATE(2028,8,31)),MIN(Assumptions!G58,MAX(0,((('Consolidated P&amp;L'!N23+'Consolidated P&amp;L'!O23+'Consolidated P&amp;L'!P23+'Consolidated P&amp;L'!Q23+'Consolidated P&amp;L'!R23+'Consolidated P&amp;L'!S23+'Consolidated P&amp;L'!T23+'Consolidated P&amp;L'!U23+'Consolidated P&amp;L'!V23+'Consolidated P&amp;L'!W23+'Consolidated P&amp;L'!X23+'Consolidated P&amp;L'!Y23)*12/12+Assumptions!H58)*Assumptions!B8)-Y5)),0)</f>
        <v/>
      </c>
      <c r="Z14" s="156">
        <f>IF(AND(Assumptions!B58&lt;&gt;"",IFERROR(DATEVALUE(TEXT(Assumptions!B58,"MM/DD/YYYY")),0)&gt;=DATE(2028,9,1),IFERROR(DATEVALUE(TEXT(Assumptions!B58,"MM/DD/YYYY")),0)&lt;=DATE(2028,9,30)),MIN(Assumptions!G58,MAX(0,((('Consolidated P&amp;L'!O23+'Consolidated P&amp;L'!P23+'Consolidated P&amp;L'!Q23+'Consolidated P&amp;L'!R23+'Consolidated P&amp;L'!S23+'Consolidated P&amp;L'!T23+'Consolidated P&amp;L'!U23+'Consolidated P&amp;L'!V23+'Consolidated P&amp;L'!W23+'Consolidated P&amp;L'!X23+'Consolidated P&amp;L'!Y23+'Consolidated P&amp;L'!Z23)*12/12+Assumptions!H58)*Assumptions!B8)-Z5)),0)</f>
        <v/>
      </c>
      <c r="AA14" s="156">
        <f>IF(AND(Assumptions!B58&lt;&gt;"",IFERROR(DATEVALUE(TEXT(Assumptions!B58,"MM/DD/YYYY")),0)&gt;=DATE(2028,10,1),IFERROR(DATEVALUE(TEXT(Assumptions!B58,"MM/DD/YYYY")),0)&lt;=DATE(2028,10,31)),MIN(Assumptions!G58,MAX(0,((('Consolidated P&amp;L'!P23+'Consolidated P&amp;L'!Q23+'Consolidated P&amp;L'!R23+'Consolidated P&amp;L'!S23+'Consolidated P&amp;L'!T23+'Consolidated P&amp;L'!U23+'Consolidated P&amp;L'!V23+'Consolidated P&amp;L'!W23+'Consolidated P&amp;L'!X23+'Consolidated P&amp;L'!Y23+'Consolidated P&amp;L'!Z23+'Consolidated P&amp;L'!AA23)*12/12+Assumptions!H58)*Assumptions!B8)-AA5)),0)</f>
        <v/>
      </c>
      <c r="AB14" s="156">
        <f>IF(AND(Assumptions!B58&lt;&gt;"",IFERROR(DATEVALUE(TEXT(Assumptions!B58,"MM/DD/YYYY")),0)&gt;=DATE(2028,11,1),IFERROR(DATEVALUE(TEXT(Assumptions!B58,"MM/DD/YYYY")),0)&lt;=DATE(2028,11,30)),MIN(Assumptions!G58,MAX(0,((('Consolidated P&amp;L'!Q23+'Consolidated P&amp;L'!R23+'Consolidated P&amp;L'!S23+'Consolidated P&amp;L'!T23+'Consolidated P&amp;L'!U23+'Consolidated P&amp;L'!V23+'Consolidated P&amp;L'!W23+'Consolidated P&amp;L'!X23+'Consolidated P&amp;L'!Y23+'Consolidated P&amp;L'!Z23+'Consolidated P&amp;L'!AA23+'Consolidated P&amp;L'!AB23)*12/12+Assumptions!H58)*Assumptions!B8)-AB5)),0)</f>
        <v/>
      </c>
      <c r="AC14" s="156">
        <f>IF(AND(Assumptions!B58&lt;&gt;"",IFERROR(DATEVALUE(TEXT(Assumptions!B58,"MM/DD/YYYY")),0)&gt;=DATE(2028,12,1),IFERROR(DATEVALUE(TEXT(Assumptions!B58,"MM/DD/YYYY")),0)&lt;=DATE(2028,12,31)),MIN(Assumptions!G58,MAX(0,((('Consolidated P&amp;L'!R23+'Consolidated P&amp;L'!S23+'Consolidated P&amp;L'!T23+'Consolidated P&amp;L'!U23+'Consolidated P&amp;L'!V23+'Consolidated P&amp;L'!W23+'Consolidated P&amp;L'!X23+'Consolidated P&amp;L'!Y23+'Consolidated P&amp;L'!Z23+'Consolidated P&amp;L'!AA23+'Consolidated P&amp;L'!AB23+'Consolidated P&amp;L'!AC23)*12/12+Assumptions!H58)*Assumptions!B8)-AC5)),0)</f>
        <v/>
      </c>
      <c r="AD14" s="156">
        <f>IF(AND(Assumptions!B58&lt;&gt;"",IFERROR(DATEVALUE(TEXT(Assumptions!B58,"MM/DD/YYYY")),0)&gt;=DATE(2029,1,1),IFERROR(DATEVALUE(TEXT(Assumptions!B58,"MM/DD/YYYY")),0)&lt;=DATE(2029,1,31)),MIN(Assumptions!G58,MAX(0,((('Consolidated P&amp;L'!S23+'Consolidated P&amp;L'!T23+'Consolidated P&amp;L'!U23+'Consolidated P&amp;L'!V23+'Consolidated P&amp;L'!W23+'Consolidated P&amp;L'!X23+'Consolidated P&amp;L'!Y23+'Consolidated P&amp;L'!Z23+'Consolidated P&amp;L'!AA23+'Consolidated P&amp;L'!AB23+'Consolidated P&amp;L'!AC23+'Consolidated P&amp;L'!AD23)*12/12+Assumptions!H58)*Assumptions!B8)-AD5)),0)</f>
        <v/>
      </c>
      <c r="AE14" s="156">
        <f>IF(AND(Assumptions!B58&lt;&gt;"",IFERROR(DATEVALUE(TEXT(Assumptions!B58,"MM/DD/YYYY")),0)&gt;=DATE(2029,2,1),IFERROR(DATEVALUE(TEXT(Assumptions!B58,"MM/DD/YYYY")),0)&lt;=DATE(2029,2,28)),MIN(Assumptions!G58,MAX(0,((('Consolidated P&amp;L'!T23+'Consolidated P&amp;L'!U23+'Consolidated P&amp;L'!V23+'Consolidated P&amp;L'!W23+'Consolidated P&amp;L'!X23+'Consolidated P&amp;L'!Y23+'Consolidated P&amp;L'!Z23+'Consolidated P&amp;L'!AA23+'Consolidated P&amp;L'!AB23+'Consolidated P&amp;L'!AC23+'Consolidated P&amp;L'!AD23+'Consolidated P&amp;L'!AE23)*12/12+Assumptions!H58)*Assumptions!B8)-AE5)),0)</f>
        <v/>
      </c>
      <c r="AF14" s="156">
        <f>IF(AND(Assumptions!B58&lt;&gt;"",IFERROR(DATEVALUE(TEXT(Assumptions!B58,"MM/DD/YYYY")),0)&gt;=DATE(2029,3,1),IFERROR(DATEVALUE(TEXT(Assumptions!B58,"MM/DD/YYYY")),0)&lt;=DATE(2029,3,31)),MIN(Assumptions!G58,MAX(0,((('Consolidated P&amp;L'!U23+'Consolidated P&amp;L'!V23+'Consolidated P&amp;L'!W23+'Consolidated P&amp;L'!X23+'Consolidated P&amp;L'!Y23+'Consolidated P&amp;L'!Z23+'Consolidated P&amp;L'!AA23+'Consolidated P&amp;L'!AB23+'Consolidated P&amp;L'!AC23+'Consolidated P&amp;L'!AD23+'Consolidated P&amp;L'!AE23+'Consolidated P&amp;L'!AF23)*12/12+Assumptions!H58)*Assumptions!B8)-AF5)),0)</f>
        <v/>
      </c>
      <c r="AG14" s="156">
        <f>IF(AND(Assumptions!B58&lt;&gt;"",IFERROR(DATEVALUE(TEXT(Assumptions!B58,"MM/DD/YYYY")),0)&gt;=DATE(2029,4,1),IFERROR(DATEVALUE(TEXT(Assumptions!B58,"MM/DD/YYYY")),0)&lt;=DATE(2029,4,30)),MIN(Assumptions!G58,MAX(0,((('Consolidated P&amp;L'!V23+'Consolidated P&amp;L'!W23+'Consolidated P&amp;L'!X23+'Consolidated P&amp;L'!Y23+'Consolidated P&amp;L'!Z23+'Consolidated P&amp;L'!AA23+'Consolidated P&amp;L'!AB23+'Consolidated P&amp;L'!AC23+'Consolidated P&amp;L'!AD23+'Consolidated P&amp;L'!AE23+'Consolidated P&amp;L'!AF23+'Consolidated P&amp;L'!AG23)*12/12+Assumptions!H58)*Assumptions!B8)-AG5)),0)</f>
        <v/>
      </c>
      <c r="AH14" s="156">
        <f>IF(AND(Assumptions!B58&lt;&gt;"",IFERROR(DATEVALUE(TEXT(Assumptions!B58,"MM/DD/YYYY")),0)&gt;=DATE(2029,5,1),IFERROR(DATEVALUE(TEXT(Assumptions!B58,"MM/DD/YYYY")),0)&lt;=DATE(2029,5,31)),MIN(Assumptions!G58,MAX(0,((('Consolidated P&amp;L'!W23+'Consolidated P&amp;L'!X23+'Consolidated P&amp;L'!Y23+'Consolidated P&amp;L'!Z23+'Consolidated P&amp;L'!AA23+'Consolidated P&amp;L'!AB23+'Consolidated P&amp;L'!AC23+'Consolidated P&amp;L'!AD23+'Consolidated P&amp;L'!AE23+'Consolidated P&amp;L'!AF23+'Consolidated P&amp;L'!AG23+'Consolidated P&amp;L'!AH23)*12/12+Assumptions!H58)*Assumptions!B8)-AH5)),0)</f>
        <v/>
      </c>
      <c r="AI14" s="156">
        <f>IF(AND(Assumptions!B58&lt;&gt;"",IFERROR(DATEVALUE(TEXT(Assumptions!B58,"MM/DD/YYYY")),0)&gt;=DATE(2029,6,1),IFERROR(DATEVALUE(TEXT(Assumptions!B58,"MM/DD/YYYY")),0)&lt;=DATE(2029,6,30)),MIN(Assumptions!G58,MAX(0,((('Consolidated P&amp;L'!X23+'Consolidated P&amp;L'!Y23+'Consolidated P&amp;L'!Z23+'Consolidated P&amp;L'!AA23+'Consolidated P&amp;L'!AB23+'Consolidated P&amp;L'!AC23+'Consolidated P&amp;L'!AD23+'Consolidated P&amp;L'!AE23+'Consolidated P&amp;L'!AF23+'Consolidated P&amp;L'!AG23+'Consolidated P&amp;L'!AH23+'Consolidated P&amp;L'!AI23)*12/12+Assumptions!H58)*Assumptions!B8)-AI5)),0)</f>
        <v/>
      </c>
      <c r="AJ14" s="156">
        <f>IF(AND(Assumptions!B58&lt;&gt;"",IFERROR(DATEVALUE(TEXT(Assumptions!B58,"MM/DD/YYYY")),0)&gt;=DATE(2029,7,1),IFERROR(DATEVALUE(TEXT(Assumptions!B58,"MM/DD/YYYY")),0)&lt;=DATE(2029,7,31)),MIN(Assumptions!G58,MAX(0,((('Consolidated P&amp;L'!Y23+'Consolidated P&amp;L'!Z23+'Consolidated P&amp;L'!AA23+'Consolidated P&amp;L'!AB23+'Consolidated P&amp;L'!AC23+'Consolidated P&amp;L'!AD23+'Consolidated P&amp;L'!AE23+'Consolidated P&amp;L'!AF23+'Consolidated P&amp;L'!AG23+'Consolidated P&amp;L'!AH23+'Consolidated P&amp;L'!AI23+'Consolidated P&amp;L'!AJ23)*12/12+Assumptions!H58)*Assumptions!B8)-AJ5)),0)</f>
        <v/>
      </c>
      <c r="AK14" s="156">
        <f>IF(AND(Assumptions!B58&lt;&gt;"",IFERROR(DATEVALUE(TEXT(Assumptions!B58,"MM/DD/YYYY")),0)&gt;=DATE(2029,8,1),IFERROR(DATEVALUE(TEXT(Assumptions!B58,"MM/DD/YYYY")),0)&lt;=DATE(2029,8,31)),MIN(Assumptions!G58,MAX(0,((('Consolidated P&amp;L'!Z23+'Consolidated P&amp;L'!AA23+'Consolidated P&amp;L'!AB23+'Consolidated P&amp;L'!AC23+'Consolidated P&amp;L'!AD23+'Consolidated P&amp;L'!AE23+'Consolidated P&amp;L'!AF23+'Consolidated P&amp;L'!AG23+'Consolidated P&amp;L'!AH23+'Consolidated P&amp;L'!AI23+'Consolidated P&amp;L'!AJ23+'Consolidated P&amp;L'!AK23)*12/12+Assumptions!H58)*Assumptions!B8)-AK5)),0)</f>
        <v/>
      </c>
      <c r="AL14" s="156">
        <f>IF(AND(Assumptions!B58&lt;&gt;"",IFERROR(DATEVALUE(TEXT(Assumptions!B58,"MM/DD/YYYY")),0)&gt;=DATE(2029,9,1),IFERROR(DATEVALUE(TEXT(Assumptions!B58,"MM/DD/YYYY")),0)&lt;=DATE(2029,9,30)),MIN(Assumptions!G58,MAX(0,((('Consolidated P&amp;L'!AA23+'Consolidated P&amp;L'!AB23+'Consolidated P&amp;L'!AC23+'Consolidated P&amp;L'!AD23+'Consolidated P&amp;L'!AE23+'Consolidated P&amp;L'!AF23+'Consolidated P&amp;L'!AG23+'Consolidated P&amp;L'!AH23+'Consolidated P&amp;L'!AI23+'Consolidated P&amp;L'!AJ23+'Consolidated P&amp;L'!AK23+'Consolidated P&amp;L'!AL23)*12/12+Assumptions!H58)*Assumptions!B8)-AL5)),0)</f>
        <v/>
      </c>
      <c r="AM14" s="156">
        <f>IF(AND(Assumptions!B58&lt;&gt;"",IFERROR(DATEVALUE(TEXT(Assumptions!B58,"MM/DD/YYYY")),0)&gt;=DATE(2029,10,1),IFERROR(DATEVALUE(TEXT(Assumptions!B58,"MM/DD/YYYY")),0)&lt;=DATE(2029,10,31)),MIN(Assumptions!G58,MAX(0,((('Consolidated P&amp;L'!AB23+'Consolidated P&amp;L'!AC23+'Consolidated P&amp;L'!AD23+'Consolidated P&amp;L'!AE23+'Consolidated P&amp;L'!AF23+'Consolidated P&amp;L'!AG23+'Consolidated P&amp;L'!AH23+'Consolidated P&amp;L'!AI23+'Consolidated P&amp;L'!AJ23+'Consolidated P&amp;L'!AK23+'Consolidated P&amp;L'!AL23+'Consolidated P&amp;L'!AM23)*12/12+Assumptions!H58)*Assumptions!B8)-AM5)),0)</f>
        <v/>
      </c>
      <c r="AN14" s="156">
        <f>IF(AND(Assumptions!B58&lt;&gt;"",IFERROR(DATEVALUE(TEXT(Assumptions!B58,"MM/DD/YYYY")),0)&gt;=DATE(2029,11,1),IFERROR(DATEVALUE(TEXT(Assumptions!B58,"MM/DD/YYYY")),0)&lt;=DATE(2029,11,30)),MIN(Assumptions!G58,MAX(0,((('Consolidated P&amp;L'!AC23+'Consolidated P&amp;L'!AD23+'Consolidated P&amp;L'!AE23+'Consolidated P&amp;L'!AF23+'Consolidated P&amp;L'!AG23+'Consolidated P&amp;L'!AH23+'Consolidated P&amp;L'!AI23+'Consolidated P&amp;L'!AJ23+'Consolidated P&amp;L'!AK23+'Consolidated P&amp;L'!AL23+'Consolidated P&amp;L'!AM23+'Consolidated P&amp;L'!AN23)*12/12+Assumptions!H58)*Assumptions!B8)-AN5)),0)</f>
        <v/>
      </c>
      <c r="AO14" s="156">
        <f>IF(AND(Assumptions!B58&lt;&gt;"",IFERROR(DATEVALUE(TEXT(Assumptions!B58,"MM/DD/YYYY")),0)&gt;=DATE(2029,12,1),IFERROR(DATEVALUE(TEXT(Assumptions!B58,"MM/DD/YYYY")),0)&lt;=DATE(2029,12,31)),MIN(Assumptions!G58,MAX(0,((('Consolidated P&amp;L'!AD23+'Consolidated P&amp;L'!AE23+'Consolidated P&amp;L'!AF23+'Consolidated P&amp;L'!AG23+'Consolidated P&amp;L'!AH23+'Consolidated P&amp;L'!AI23+'Consolidated P&amp;L'!AJ23+'Consolidated P&amp;L'!AK23+'Consolidated P&amp;L'!AL23+'Consolidated P&amp;L'!AM23+'Consolidated P&amp;L'!AN23+'Consolidated P&amp;L'!AO23)*12/12+Assumptions!H58)*Assumptions!B8)-AO5)),0)</f>
        <v/>
      </c>
      <c r="AP14" s="156">
        <f>IF(AND(Assumptions!B58&lt;&gt;"",IFERROR(DATEVALUE(TEXT(Assumptions!B58,"MM/DD/YYYY")),0)&gt;=DATE(2030,1,1),IFERROR(DATEVALUE(TEXT(Assumptions!B58,"MM/DD/YYYY")),0)&lt;=DATE(2030,1,31)),MIN(Assumptions!G58,MAX(0,((('Consolidated P&amp;L'!AE23+'Consolidated P&amp;L'!AF23+'Consolidated P&amp;L'!AG23+'Consolidated P&amp;L'!AH23+'Consolidated P&amp;L'!AI23+'Consolidated P&amp;L'!AJ23+'Consolidated P&amp;L'!AK23+'Consolidated P&amp;L'!AL23+'Consolidated P&amp;L'!AM23+'Consolidated P&amp;L'!AN23+'Consolidated P&amp;L'!AO23+'Consolidated P&amp;L'!AP23)*12/12+Assumptions!H58)*Assumptions!B8)-AP5)),0)</f>
        <v/>
      </c>
      <c r="AQ14" s="156">
        <f>IF(AND(Assumptions!B58&lt;&gt;"",IFERROR(DATEVALUE(TEXT(Assumptions!B58,"MM/DD/YYYY")),0)&gt;=DATE(2030,2,1),IFERROR(DATEVALUE(TEXT(Assumptions!B58,"MM/DD/YYYY")),0)&lt;=DATE(2030,2,28)),MIN(Assumptions!G58,MAX(0,((('Consolidated P&amp;L'!AF23+'Consolidated P&amp;L'!AG23+'Consolidated P&amp;L'!AH23+'Consolidated P&amp;L'!AI23+'Consolidated P&amp;L'!AJ23+'Consolidated P&amp;L'!AK23+'Consolidated P&amp;L'!AL23+'Consolidated P&amp;L'!AM23+'Consolidated P&amp;L'!AN23+'Consolidated P&amp;L'!AO23+'Consolidated P&amp;L'!AP23+'Consolidated P&amp;L'!AQ23)*12/12+Assumptions!H58)*Assumptions!B8)-AQ5)),0)</f>
        <v/>
      </c>
      <c r="AR14" s="156">
        <f>IF(AND(Assumptions!B58&lt;&gt;"",IFERROR(DATEVALUE(TEXT(Assumptions!B58,"MM/DD/YYYY")),0)&gt;=DATE(2030,3,1),IFERROR(DATEVALUE(TEXT(Assumptions!B58,"MM/DD/YYYY")),0)&lt;=DATE(2030,3,31)),MIN(Assumptions!G58,MAX(0,((('Consolidated P&amp;L'!AG23+'Consolidated P&amp;L'!AH23+'Consolidated P&amp;L'!AI23+'Consolidated P&amp;L'!AJ23+'Consolidated P&amp;L'!AK23+'Consolidated P&amp;L'!AL23+'Consolidated P&amp;L'!AM23+'Consolidated P&amp;L'!AN23+'Consolidated P&amp;L'!AO23+'Consolidated P&amp;L'!AP23+'Consolidated P&amp;L'!AQ23+'Consolidated P&amp;L'!AR23)*12/12+Assumptions!H58)*Assumptions!B8)-AR5)),0)</f>
        <v/>
      </c>
      <c r="AS14" s="156">
        <f>IF(AND(Assumptions!B58&lt;&gt;"",IFERROR(DATEVALUE(TEXT(Assumptions!B58,"MM/DD/YYYY")),0)&gt;=DATE(2030,4,1),IFERROR(DATEVALUE(TEXT(Assumptions!B58,"MM/DD/YYYY")),0)&lt;=DATE(2030,4,30)),MIN(Assumptions!G58,MAX(0,((('Consolidated P&amp;L'!AH23+'Consolidated P&amp;L'!AI23+'Consolidated P&amp;L'!AJ23+'Consolidated P&amp;L'!AK23+'Consolidated P&amp;L'!AL23+'Consolidated P&amp;L'!AM23+'Consolidated P&amp;L'!AN23+'Consolidated P&amp;L'!AO23+'Consolidated P&amp;L'!AP23+'Consolidated P&amp;L'!AQ23+'Consolidated P&amp;L'!AR23+'Consolidated P&amp;L'!AS23)*12/12+Assumptions!H58)*Assumptions!B8)-AS5)),0)</f>
        <v/>
      </c>
      <c r="AT14" s="156">
        <f>IF(AND(Assumptions!B58&lt;&gt;"",IFERROR(DATEVALUE(TEXT(Assumptions!B58,"MM/DD/YYYY")),0)&gt;=DATE(2030,5,1),IFERROR(DATEVALUE(TEXT(Assumptions!B58,"MM/DD/YYYY")),0)&lt;=DATE(2030,5,31)),MIN(Assumptions!G58,MAX(0,((('Consolidated P&amp;L'!AI23+'Consolidated P&amp;L'!AJ23+'Consolidated P&amp;L'!AK23+'Consolidated P&amp;L'!AL23+'Consolidated P&amp;L'!AM23+'Consolidated P&amp;L'!AN23+'Consolidated P&amp;L'!AO23+'Consolidated P&amp;L'!AP23+'Consolidated P&amp;L'!AQ23+'Consolidated P&amp;L'!AR23+'Consolidated P&amp;L'!AS23+'Consolidated P&amp;L'!AT23)*12/12+Assumptions!H58)*Assumptions!B8)-AT5)),0)</f>
        <v/>
      </c>
      <c r="AU14" s="156">
        <f>IF(AND(Assumptions!B58&lt;&gt;"",IFERROR(DATEVALUE(TEXT(Assumptions!B58,"MM/DD/YYYY")),0)&gt;=DATE(2030,6,1),IFERROR(DATEVALUE(TEXT(Assumptions!B58,"MM/DD/YYYY")),0)&lt;=DATE(2030,6,30)),MIN(Assumptions!G58,MAX(0,((('Consolidated P&amp;L'!AJ23+'Consolidated P&amp;L'!AK23+'Consolidated P&amp;L'!AL23+'Consolidated P&amp;L'!AM23+'Consolidated P&amp;L'!AN23+'Consolidated P&amp;L'!AO23+'Consolidated P&amp;L'!AP23+'Consolidated P&amp;L'!AQ23+'Consolidated P&amp;L'!AR23+'Consolidated P&amp;L'!AS23+'Consolidated P&amp;L'!AT23+'Consolidated P&amp;L'!AU23)*12/12+Assumptions!H58)*Assumptions!B8)-AU5)),0)</f>
        <v/>
      </c>
      <c r="AV14" s="156">
        <f>IF(AND(Assumptions!B58&lt;&gt;"",IFERROR(DATEVALUE(TEXT(Assumptions!B58,"MM/DD/YYYY")),0)&gt;=DATE(2030,7,1),IFERROR(DATEVALUE(TEXT(Assumptions!B58,"MM/DD/YYYY")),0)&lt;=DATE(2030,7,31)),MIN(Assumptions!G58,MAX(0,((('Consolidated P&amp;L'!AK23+'Consolidated P&amp;L'!AL23+'Consolidated P&amp;L'!AM23+'Consolidated P&amp;L'!AN23+'Consolidated P&amp;L'!AO23+'Consolidated P&amp;L'!AP23+'Consolidated P&amp;L'!AQ23+'Consolidated P&amp;L'!AR23+'Consolidated P&amp;L'!AS23+'Consolidated P&amp;L'!AT23+'Consolidated P&amp;L'!AU23+'Consolidated P&amp;L'!AV23)*12/12+Assumptions!H58)*Assumptions!B8)-AV5)),0)</f>
        <v/>
      </c>
      <c r="AW14" s="156">
        <f>IF(AND(Assumptions!B58&lt;&gt;"",IFERROR(DATEVALUE(TEXT(Assumptions!B58,"MM/DD/YYYY")),0)&gt;=DATE(2030,8,1),IFERROR(DATEVALUE(TEXT(Assumptions!B58,"MM/DD/YYYY")),0)&lt;=DATE(2030,8,31)),MIN(Assumptions!G58,MAX(0,((('Consolidated P&amp;L'!AL23+'Consolidated P&amp;L'!AM23+'Consolidated P&amp;L'!AN23+'Consolidated P&amp;L'!AO23+'Consolidated P&amp;L'!AP23+'Consolidated P&amp;L'!AQ23+'Consolidated P&amp;L'!AR23+'Consolidated P&amp;L'!AS23+'Consolidated P&amp;L'!AT23+'Consolidated P&amp;L'!AU23+'Consolidated P&amp;L'!AV23+'Consolidated P&amp;L'!AW23)*12/12+Assumptions!H58)*Assumptions!B8)-AW5)),0)</f>
        <v/>
      </c>
      <c r="AX14" s="156">
        <f>IF(AND(Assumptions!B58&lt;&gt;"",IFERROR(DATEVALUE(TEXT(Assumptions!B58,"MM/DD/YYYY")),0)&gt;=DATE(2030,9,1),IFERROR(DATEVALUE(TEXT(Assumptions!B58,"MM/DD/YYYY")),0)&lt;=DATE(2030,9,30)),MIN(Assumptions!G58,MAX(0,((('Consolidated P&amp;L'!AM23+'Consolidated P&amp;L'!AN23+'Consolidated P&amp;L'!AO23+'Consolidated P&amp;L'!AP23+'Consolidated P&amp;L'!AQ23+'Consolidated P&amp;L'!AR23+'Consolidated P&amp;L'!AS23+'Consolidated P&amp;L'!AT23+'Consolidated P&amp;L'!AU23+'Consolidated P&amp;L'!AV23+'Consolidated P&amp;L'!AW23+'Consolidated P&amp;L'!AX23)*12/12+Assumptions!H58)*Assumptions!B8)-AX5)),0)</f>
        <v/>
      </c>
      <c r="AY14" s="156">
        <f>IF(AND(Assumptions!B58&lt;&gt;"",IFERROR(DATEVALUE(TEXT(Assumptions!B58,"MM/DD/YYYY")),0)&gt;=DATE(2030,10,1),IFERROR(DATEVALUE(TEXT(Assumptions!B58,"MM/DD/YYYY")),0)&lt;=DATE(2030,10,31)),MIN(Assumptions!G58,MAX(0,((('Consolidated P&amp;L'!AN23+'Consolidated P&amp;L'!AO23+'Consolidated P&amp;L'!AP23+'Consolidated P&amp;L'!AQ23+'Consolidated P&amp;L'!AR23+'Consolidated P&amp;L'!AS23+'Consolidated P&amp;L'!AT23+'Consolidated P&amp;L'!AU23+'Consolidated P&amp;L'!AV23+'Consolidated P&amp;L'!AW23+'Consolidated P&amp;L'!AX23+'Consolidated P&amp;L'!AY23)*12/12+Assumptions!H58)*Assumptions!B8)-AY5)),0)</f>
        <v/>
      </c>
      <c r="AZ14" s="156">
        <f>IF(AND(Assumptions!B58&lt;&gt;"",IFERROR(DATEVALUE(TEXT(Assumptions!B58,"MM/DD/YYYY")),0)&gt;=DATE(2030,11,1),IFERROR(DATEVALUE(TEXT(Assumptions!B58,"MM/DD/YYYY")),0)&lt;=DATE(2030,11,30)),MIN(Assumptions!G58,MAX(0,((('Consolidated P&amp;L'!AO23+'Consolidated P&amp;L'!AP23+'Consolidated P&amp;L'!AQ23+'Consolidated P&amp;L'!AR23+'Consolidated P&amp;L'!AS23+'Consolidated P&amp;L'!AT23+'Consolidated P&amp;L'!AU23+'Consolidated P&amp;L'!AV23+'Consolidated P&amp;L'!AW23+'Consolidated P&amp;L'!AX23+'Consolidated P&amp;L'!AY23+'Consolidated P&amp;L'!AZ23)*12/12+Assumptions!H58)*Assumptions!B8)-AZ5)),0)</f>
        <v/>
      </c>
      <c r="BA14" s="156">
        <f>IF(AND(Assumptions!B58&lt;&gt;"",IFERROR(DATEVALUE(TEXT(Assumptions!B58,"MM/DD/YYYY")),0)&gt;=DATE(2030,12,1),IFERROR(DATEVALUE(TEXT(Assumptions!B58,"MM/DD/YYYY")),0)&lt;=DATE(2030,12,31)),MIN(Assumptions!G58,MAX(0,((('Consolidated P&amp;L'!AP23+'Consolidated P&amp;L'!AQ23+'Consolidated P&amp;L'!AR23+'Consolidated P&amp;L'!AS23+'Consolidated P&amp;L'!AT23+'Consolidated P&amp;L'!AU23+'Consolidated P&amp;L'!AV23+'Consolidated P&amp;L'!AW23+'Consolidated P&amp;L'!AX23+'Consolidated P&amp;L'!AY23+'Consolidated P&amp;L'!AZ23+'Consolidated P&amp;L'!BA23)*12/12+Assumptions!H58)*Assumptions!B8)-BA5)),0)</f>
        <v/>
      </c>
      <c r="BB14" s="156">
        <f>IF(AND(Assumptions!B58&lt;&gt;"",IFERROR(DATEVALUE(TEXT(Assumptions!B58,"MM/DD/YYYY")),0)&gt;=DATE(2031,1,1),IFERROR(DATEVALUE(TEXT(Assumptions!B58,"MM/DD/YYYY")),0)&lt;=DATE(2031,1,31)),MIN(Assumptions!G58,MAX(0,((('Consolidated P&amp;L'!AQ23+'Consolidated P&amp;L'!AR23+'Consolidated P&amp;L'!AS23+'Consolidated P&amp;L'!AT23+'Consolidated P&amp;L'!AU23+'Consolidated P&amp;L'!AV23+'Consolidated P&amp;L'!AW23+'Consolidated P&amp;L'!AX23+'Consolidated P&amp;L'!AY23+'Consolidated P&amp;L'!AZ23+'Consolidated P&amp;L'!BA23+'Consolidated P&amp;L'!BB23)*12/12+Assumptions!H58)*Assumptions!B8)-BB5)),0)</f>
        <v/>
      </c>
      <c r="BC14" s="156">
        <f>IF(AND(Assumptions!B58&lt;&gt;"",IFERROR(DATEVALUE(TEXT(Assumptions!B58,"MM/DD/YYYY")),0)&gt;=DATE(2031,2,1),IFERROR(DATEVALUE(TEXT(Assumptions!B58,"MM/DD/YYYY")),0)&lt;=DATE(2031,2,28)),MIN(Assumptions!G58,MAX(0,((('Consolidated P&amp;L'!AR23+'Consolidated P&amp;L'!AS23+'Consolidated P&amp;L'!AT23+'Consolidated P&amp;L'!AU23+'Consolidated P&amp;L'!AV23+'Consolidated P&amp;L'!AW23+'Consolidated P&amp;L'!AX23+'Consolidated P&amp;L'!AY23+'Consolidated P&amp;L'!AZ23+'Consolidated P&amp;L'!BA23+'Consolidated P&amp;L'!BB23+'Consolidated P&amp;L'!BC23)*12/12+Assumptions!H58)*Assumptions!B8)-BC5)),0)</f>
        <v/>
      </c>
      <c r="BD14" s="156">
        <f>IF(AND(Assumptions!B58&lt;&gt;"",IFERROR(DATEVALUE(TEXT(Assumptions!B58,"MM/DD/YYYY")),0)&gt;=DATE(2031,3,1),IFERROR(DATEVALUE(TEXT(Assumptions!B58,"MM/DD/YYYY")),0)&lt;=DATE(2031,3,31)),MIN(Assumptions!G58,MAX(0,((('Consolidated P&amp;L'!AS23+'Consolidated P&amp;L'!AT23+'Consolidated P&amp;L'!AU23+'Consolidated P&amp;L'!AV23+'Consolidated P&amp;L'!AW23+'Consolidated P&amp;L'!AX23+'Consolidated P&amp;L'!AY23+'Consolidated P&amp;L'!AZ23+'Consolidated P&amp;L'!BA23+'Consolidated P&amp;L'!BB23+'Consolidated P&amp;L'!BC23+'Consolidated P&amp;L'!BD23)*12/12+Assumptions!H58)*Assumptions!B8)-BD5)),0)</f>
        <v/>
      </c>
      <c r="BE14" s="156">
        <f>IF(AND(Assumptions!B58&lt;&gt;"",IFERROR(DATEVALUE(TEXT(Assumptions!B58,"MM/DD/YYYY")),0)&gt;=DATE(2031,4,1),IFERROR(DATEVALUE(TEXT(Assumptions!B58,"MM/DD/YYYY")),0)&lt;=DATE(2031,4,30)),MIN(Assumptions!G58,MAX(0,((('Consolidated P&amp;L'!AT23+'Consolidated P&amp;L'!AU23+'Consolidated P&amp;L'!AV23+'Consolidated P&amp;L'!AW23+'Consolidated P&amp;L'!AX23+'Consolidated P&amp;L'!AY23+'Consolidated P&amp;L'!AZ23+'Consolidated P&amp;L'!BA23+'Consolidated P&amp;L'!BB23+'Consolidated P&amp;L'!BC23+'Consolidated P&amp;L'!BD23+'Consolidated P&amp;L'!BE23)*12/12+Assumptions!H58)*Assumptions!B8)-BE5)),0)</f>
        <v/>
      </c>
      <c r="BF14" s="156">
        <f>IF(AND(Assumptions!B58&lt;&gt;"",IFERROR(DATEVALUE(TEXT(Assumptions!B58,"MM/DD/YYYY")),0)&gt;=DATE(2031,5,1),IFERROR(DATEVALUE(TEXT(Assumptions!B58,"MM/DD/YYYY")),0)&lt;=DATE(2031,5,31)),MIN(Assumptions!G58,MAX(0,((('Consolidated P&amp;L'!AU23+'Consolidated P&amp;L'!AV23+'Consolidated P&amp;L'!AW23+'Consolidated P&amp;L'!AX23+'Consolidated P&amp;L'!AY23+'Consolidated P&amp;L'!AZ23+'Consolidated P&amp;L'!BA23+'Consolidated P&amp;L'!BB23+'Consolidated P&amp;L'!BC23+'Consolidated P&amp;L'!BD23+'Consolidated P&amp;L'!BE23+'Consolidated P&amp;L'!BF23)*12/12+Assumptions!H58)*Assumptions!B8)-BF5)),0)</f>
        <v/>
      </c>
      <c r="BG14" s="156">
        <f>IF(AND(Assumptions!B58&lt;&gt;"",IFERROR(DATEVALUE(TEXT(Assumptions!B58,"MM/DD/YYYY")),0)&gt;=DATE(2031,6,1),IFERROR(DATEVALUE(TEXT(Assumptions!B58,"MM/DD/YYYY")),0)&lt;=DATE(2031,6,30)),MIN(Assumptions!G58,MAX(0,((('Consolidated P&amp;L'!AV23+'Consolidated P&amp;L'!AW23+'Consolidated P&amp;L'!AX23+'Consolidated P&amp;L'!AY23+'Consolidated P&amp;L'!AZ23+'Consolidated P&amp;L'!BA23+'Consolidated P&amp;L'!BB23+'Consolidated P&amp;L'!BC23+'Consolidated P&amp;L'!BD23+'Consolidated P&amp;L'!BE23+'Consolidated P&amp;L'!BF23+'Consolidated P&amp;L'!BG23)*12/12+Assumptions!H58)*Assumptions!B8)-BG5)),0)</f>
        <v/>
      </c>
      <c r="BH14" s="156">
        <f>IF(AND(Assumptions!B58&lt;&gt;"",IFERROR(DATEVALUE(TEXT(Assumptions!B58,"MM/DD/YYYY")),0)&gt;=DATE(2031,7,1),IFERROR(DATEVALUE(TEXT(Assumptions!B58,"MM/DD/YYYY")),0)&lt;=DATE(2031,7,31)),MIN(Assumptions!G58,MAX(0,((('Consolidated P&amp;L'!AW23+'Consolidated P&amp;L'!AX23+'Consolidated P&amp;L'!AY23+'Consolidated P&amp;L'!AZ23+'Consolidated P&amp;L'!BA23+'Consolidated P&amp;L'!BB23+'Consolidated P&amp;L'!BC23+'Consolidated P&amp;L'!BD23+'Consolidated P&amp;L'!BE23+'Consolidated P&amp;L'!BF23+'Consolidated P&amp;L'!BG23+'Consolidated P&amp;L'!BH23)*12/12+Assumptions!H58)*Assumptions!B8)-BH5)),0)</f>
        <v/>
      </c>
      <c r="BI14" s="156">
        <f>IF(AND(Assumptions!B58&lt;&gt;"",IFERROR(DATEVALUE(TEXT(Assumptions!B58,"MM/DD/YYYY")),0)&gt;=DATE(2031,8,1),IFERROR(DATEVALUE(TEXT(Assumptions!B58,"MM/DD/YYYY")),0)&lt;=DATE(2031,8,31)),MIN(Assumptions!G58,MAX(0,((('Consolidated P&amp;L'!AX23+'Consolidated P&amp;L'!AY23+'Consolidated P&amp;L'!AZ23+'Consolidated P&amp;L'!BA23+'Consolidated P&amp;L'!BB23+'Consolidated P&amp;L'!BC23+'Consolidated P&amp;L'!BD23+'Consolidated P&amp;L'!BE23+'Consolidated P&amp;L'!BF23+'Consolidated P&amp;L'!BG23+'Consolidated P&amp;L'!BH23+'Consolidated P&amp;L'!BI23)*12/12+Assumptions!H58)*Assumptions!B8)-BI5)),0)</f>
        <v/>
      </c>
      <c r="BJ14" s="156">
        <f>IF(AND(Assumptions!B58&lt;&gt;"",IFERROR(DATEVALUE(TEXT(Assumptions!B58,"MM/DD/YYYY")),0)&gt;=DATE(2031,9,1),IFERROR(DATEVALUE(TEXT(Assumptions!B58,"MM/DD/YYYY")),0)&lt;=DATE(2031,9,30)),MIN(Assumptions!G58,MAX(0,((('Consolidated P&amp;L'!AY23+'Consolidated P&amp;L'!AZ23+'Consolidated P&amp;L'!BA23+'Consolidated P&amp;L'!BB23+'Consolidated P&amp;L'!BC23+'Consolidated P&amp;L'!BD23+'Consolidated P&amp;L'!BE23+'Consolidated P&amp;L'!BF23+'Consolidated P&amp;L'!BG23+'Consolidated P&amp;L'!BH23+'Consolidated P&amp;L'!BI23+'Consolidated P&amp;L'!BJ23)*12/12+Assumptions!H58)*Assumptions!B8)-BJ5)),0)</f>
        <v/>
      </c>
      <c r="BL14" s="157">
        <f>C14+D14+E14+F14+G14+H14+I14+J14+K14+L14+M14+N14</f>
        <v/>
      </c>
      <c r="BM14" s="157">
        <f>O14+P14+Q14+R14+S14+T14+U14+V14+W14+X14+Y14+Z14</f>
        <v/>
      </c>
      <c r="BN14" s="157">
        <f>AA14+AB14+AC14+AD14+AE14+AF14+AG14+AH14+AI14+AJ14+AK14+AL14</f>
        <v/>
      </c>
      <c r="BO14" s="157">
        <f>AM14+AN14+AO14+AP14+AQ14+AR14+AS14+AT14+AU14+AV14+AW14+AX14</f>
        <v/>
      </c>
      <c r="BP14" s="157">
        <f>AY14+AZ14+BA14+BB14+BC14+BD14+BE14+BF14+BG14+BH14+BI14+BJ14</f>
        <v/>
      </c>
    </row>
    <row r="15" ht="15" customHeight="1" s="104">
      <c r="A15" s="107" t="inlineStr">
        <is>
          <t xml:space="preserve">    Add-On 9 Debt Draw</t>
        </is>
      </c>
      <c r="C15" s="156">
        <f>IF(AND(Assumptions!B59&lt;&gt;"",IFERROR(DATEVALUE(TEXT(Assumptions!B59,"MM/DD/YYYY")),0)&gt;=DATE(2026,10,1),IFERROR(DATEVALUE(TEXT(Assumptions!B59,"MM/DD/YYYY")),0)&lt;=DATE(2026,10,31)),MIN(Assumptions!G59,MAX(0,((('Consolidated P&amp;L'!C23)*12/1+Assumptions!H59)*Assumptions!B8)-C5)),0)</f>
        <v/>
      </c>
      <c r="D15" s="156">
        <f>IF(AND(Assumptions!B59&lt;&gt;"",IFERROR(DATEVALUE(TEXT(Assumptions!B59,"MM/DD/YYYY")),0)&gt;=DATE(2026,11,1),IFERROR(DATEVALUE(TEXT(Assumptions!B59,"MM/DD/YYYY")),0)&lt;=DATE(2026,11,30)),MIN(Assumptions!G59,MAX(0,((('Consolidated P&amp;L'!C23+'Consolidated P&amp;L'!D23)*12/2+Assumptions!H59)*Assumptions!B8)-D5)),0)</f>
        <v/>
      </c>
      <c r="E15" s="156">
        <f>IF(AND(Assumptions!B59&lt;&gt;"",IFERROR(DATEVALUE(TEXT(Assumptions!B59,"MM/DD/YYYY")),0)&gt;=DATE(2026,12,1),IFERROR(DATEVALUE(TEXT(Assumptions!B59,"MM/DD/YYYY")),0)&lt;=DATE(2026,12,31)),MIN(Assumptions!G59,MAX(0,((('Consolidated P&amp;L'!C23+'Consolidated P&amp;L'!D23+'Consolidated P&amp;L'!E23)*12/3+Assumptions!H59)*Assumptions!B8)-E5)),0)</f>
        <v/>
      </c>
      <c r="F15" s="156">
        <f>IF(AND(Assumptions!B59&lt;&gt;"",IFERROR(DATEVALUE(TEXT(Assumptions!B59,"MM/DD/YYYY")),0)&gt;=DATE(2027,1,1),IFERROR(DATEVALUE(TEXT(Assumptions!B59,"MM/DD/YYYY")),0)&lt;=DATE(2027,1,31)),MIN(Assumptions!G59,MAX(0,((('Consolidated P&amp;L'!C23+'Consolidated P&amp;L'!D23+'Consolidated P&amp;L'!E23+'Consolidated P&amp;L'!F23)*12/4+Assumptions!H59)*Assumptions!B8)-F5)),0)</f>
        <v/>
      </c>
      <c r="G15" s="156">
        <f>IF(AND(Assumptions!B59&lt;&gt;"",IFERROR(DATEVALUE(TEXT(Assumptions!B59,"MM/DD/YYYY")),0)&gt;=DATE(2027,2,1),IFERROR(DATEVALUE(TEXT(Assumptions!B59,"MM/DD/YYYY")),0)&lt;=DATE(2027,2,28)),MIN(Assumptions!G59,MAX(0,((('Consolidated P&amp;L'!C23+'Consolidated P&amp;L'!D23+'Consolidated P&amp;L'!E23+'Consolidated P&amp;L'!F23+'Consolidated P&amp;L'!G23)*12/5+Assumptions!H59)*Assumptions!B8)-G5)),0)</f>
        <v/>
      </c>
      <c r="H15" s="156">
        <f>IF(AND(Assumptions!B59&lt;&gt;"",IFERROR(DATEVALUE(TEXT(Assumptions!B59,"MM/DD/YYYY")),0)&gt;=DATE(2027,3,1),IFERROR(DATEVALUE(TEXT(Assumptions!B59,"MM/DD/YYYY")),0)&lt;=DATE(2027,3,31)),MIN(Assumptions!G59,MAX(0,((('Consolidated P&amp;L'!C23+'Consolidated P&amp;L'!D23+'Consolidated P&amp;L'!E23+'Consolidated P&amp;L'!F23+'Consolidated P&amp;L'!G23+'Consolidated P&amp;L'!H23)*12/6+Assumptions!H59)*Assumptions!B8)-H5)),0)</f>
        <v/>
      </c>
      <c r="I15" s="156">
        <f>IF(AND(Assumptions!B59&lt;&gt;"",IFERROR(DATEVALUE(TEXT(Assumptions!B59,"MM/DD/YYYY")),0)&gt;=DATE(2027,4,1),IFERROR(DATEVALUE(TEXT(Assumptions!B59,"MM/DD/YYYY")),0)&lt;=DATE(2027,4,30)),MIN(Assumptions!G59,MAX(0,((('Consolidated P&amp;L'!C23+'Consolidated P&amp;L'!D23+'Consolidated P&amp;L'!E23+'Consolidated P&amp;L'!F23+'Consolidated P&amp;L'!G23+'Consolidated P&amp;L'!H23+'Consolidated P&amp;L'!I23)*12/7+Assumptions!H59)*Assumptions!B8)-I5)),0)</f>
        <v/>
      </c>
      <c r="J15" s="156">
        <f>IF(AND(Assumptions!B59&lt;&gt;"",IFERROR(DATEVALUE(TEXT(Assumptions!B59,"MM/DD/YYYY")),0)&gt;=DATE(2027,5,1),IFERROR(DATEVALUE(TEXT(Assumptions!B59,"MM/DD/YYYY")),0)&lt;=DATE(2027,5,31)),MIN(Assumptions!G59,MAX(0,((('Consolidated P&amp;L'!C23+'Consolidated P&amp;L'!D23+'Consolidated P&amp;L'!E23+'Consolidated P&amp;L'!F23+'Consolidated P&amp;L'!G23+'Consolidated P&amp;L'!H23+'Consolidated P&amp;L'!I23+'Consolidated P&amp;L'!J23)*12/8+Assumptions!H59)*Assumptions!B8)-J5)),0)</f>
        <v/>
      </c>
      <c r="K15" s="156">
        <f>IF(AND(Assumptions!B59&lt;&gt;"",IFERROR(DATEVALUE(TEXT(Assumptions!B59,"MM/DD/YYYY")),0)&gt;=DATE(2027,6,1),IFERROR(DATEVALUE(TEXT(Assumptions!B59,"MM/DD/YYYY")),0)&lt;=DATE(2027,6,30)),MIN(Assumptions!G59,MAX(0,((('Consolidated P&amp;L'!C23+'Consolidated P&amp;L'!D23+'Consolidated P&amp;L'!E23+'Consolidated P&amp;L'!F23+'Consolidated P&amp;L'!G23+'Consolidated P&amp;L'!H23+'Consolidated P&amp;L'!I23+'Consolidated P&amp;L'!J23+'Consolidated P&amp;L'!K23)*12/9+Assumptions!H59)*Assumptions!B8)-K5)),0)</f>
        <v/>
      </c>
      <c r="L15" s="156">
        <f>IF(AND(Assumptions!B59&lt;&gt;"",IFERROR(DATEVALUE(TEXT(Assumptions!B59,"MM/DD/YYYY")),0)&gt;=DATE(2027,7,1),IFERROR(DATEVALUE(TEXT(Assumptions!B59,"MM/DD/YYYY")),0)&lt;=DATE(2027,7,31)),MIN(Assumptions!G59,MAX(0,((('Consolidated P&amp;L'!C23+'Consolidated P&amp;L'!D23+'Consolidated P&amp;L'!E23+'Consolidated P&amp;L'!F23+'Consolidated P&amp;L'!G23+'Consolidated P&amp;L'!H23+'Consolidated P&amp;L'!I23+'Consolidated P&amp;L'!J23+'Consolidated P&amp;L'!K23+'Consolidated P&amp;L'!L23)*12/10+Assumptions!H59)*Assumptions!B8)-L5)),0)</f>
        <v/>
      </c>
      <c r="M15" s="156">
        <f>IF(AND(Assumptions!B59&lt;&gt;"",IFERROR(DATEVALUE(TEXT(Assumptions!B59,"MM/DD/YYYY")),0)&gt;=DATE(2027,8,1),IFERROR(DATEVALUE(TEXT(Assumptions!B59,"MM/DD/YYYY")),0)&lt;=DATE(2027,8,31)),MIN(Assumptions!G59,MAX(0,((('Consolidated P&amp;L'!C23+'Consolidated P&amp;L'!D23+'Consolidated P&amp;L'!E23+'Consolidated P&amp;L'!F23+'Consolidated P&amp;L'!G23+'Consolidated P&amp;L'!H23+'Consolidated P&amp;L'!I23+'Consolidated P&amp;L'!J23+'Consolidated P&amp;L'!K23+'Consolidated P&amp;L'!L23+'Consolidated P&amp;L'!M23)*12/11+Assumptions!H59)*Assumptions!B8)-M5)),0)</f>
        <v/>
      </c>
      <c r="N15" s="156">
        <f>IF(AND(Assumptions!B59&lt;&gt;"",IFERROR(DATEVALUE(TEXT(Assumptions!B59,"MM/DD/YYYY")),0)&gt;=DATE(2027,9,1),IFERROR(DATEVALUE(TEXT(Assumptions!B59,"MM/DD/YYYY")),0)&lt;=DATE(2027,9,30)),MIN(Assumptions!G59,MAX(0,((('Consolidated P&amp;L'!C23+'Consolidated P&amp;L'!D23+'Consolidated P&amp;L'!E23+'Consolidated P&amp;L'!F23+'Consolidated P&amp;L'!G23+'Consolidated P&amp;L'!H23+'Consolidated P&amp;L'!I23+'Consolidated P&amp;L'!J23+'Consolidated P&amp;L'!K23+'Consolidated P&amp;L'!L23+'Consolidated P&amp;L'!M23+'Consolidated P&amp;L'!N23)*12/12+Assumptions!H59)*Assumptions!B8)-N5)),0)</f>
        <v/>
      </c>
      <c r="O15" s="156">
        <f>IF(AND(Assumptions!B59&lt;&gt;"",IFERROR(DATEVALUE(TEXT(Assumptions!B59,"MM/DD/YYYY")),0)&gt;=DATE(2027,10,1),IFERROR(DATEVALUE(TEXT(Assumptions!B59,"MM/DD/YYYY")),0)&lt;=DATE(2027,10,31)),MIN(Assumptions!G59,MAX(0,((('Consolidated P&amp;L'!D23+'Consolidated P&amp;L'!E23+'Consolidated P&amp;L'!F23+'Consolidated P&amp;L'!G23+'Consolidated P&amp;L'!H23+'Consolidated P&amp;L'!I23+'Consolidated P&amp;L'!J23+'Consolidated P&amp;L'!K23+'Consolidated P&amp;L'!L23+'Consolidated P&amp;L'!M23+'Consolidated P&amp;L'!N23+'Consolidated P&amp;L'!O23)*12/12+Assumptions!H59)*Assumptions!B8)-O5)),0)</f>
        <v/>
      </c>
      <c r="P15" s="156">
        <f>IF(AND(Assumptions!B59&lt;&gt;"",IFERROR(DATEVALUE(TEXT(Assumptions!B59,"MM/DD/YYYY")),0)&gt;=DATE(2027,11,1),IFERROR(DATEVALUE(TEXT(Assumptions!B59,"MM/DD/YYYY")),0)&lt;=DATE(2027,11,30)),MIN(Assumptions!G59,MAX(0,((('Consolidated P&amp;L'!E23+'Consolidated P&amp;L'!F23+'Consolidated P&amp;L'!G23+'Consolidated P&amp;L'!H23+'Consolidated P&amp;L'!I23+'Consolidated P&amp;L'!J23+'Consolidated P&amp;L'!K23+'Consolidated P&amp;L'!L23+'Consolidated P&amp;L'!M23+'Consolidated P&amp;L'!N23+'Consolidated P&amp;L'!O23+'Consolidated P&amp;L'!P23)*12/12+Assumptions!H59)*Assumptions!B8)-P5)),0)</f>
        <v/>
      </c>
      <c r="Q15" s="156">
        <f>IF(AND(Assumptions!B59&lt;&gt;"",IFERROR(DATEVALUE(TEXT(Assumptions!B59,"MM/DD/YYYY")),0)&gt;=DATE(2027,12,1),IFERROR(DATEVALUE(TEXT(Assumptions!B59,"MM/DD/YYYY")),0)&lt;=DATE(2027,12,31)),MIN(Assumptions!G59,MAX(0,((('Consolidated P&amp;L'!F23+'Consolidated P&amp;L'!G23+'Consolidated P&amp;L'!H23+'Consolidated P&amp;L'!I23+'Consolidated P&amp;L'!J23+'Consolidated P&amp;L'!K23+'Consolidated P&amp;L'!L23+'Consolidated P&amp;L'!M23+'Consolidated P&amp;L'!N23+'Consolidated P&amp;L'!O23+'Consolidated P&amp;L'!P23+'Consolidated P&amp;L'!Q23)*12/12+Assumptions!H59)*Assumptions!B8)-Q5)),0)</f>
        <v/>
      </c>
      <c r="R15" s="156">
        <f>IF(AND(Assumptions!B59&lt;&gt;"",IFERROR(DATEVALUE(TEXT(Assumptions!B59,"MM/DD/YYYY")),0)&gt;=DATE(2028,1,1),IFERROR(DATEVALUE(TEXT(Assumptions!B59,"MM/DD/YYYY")),0)&lt;=DATE(2028,1,31)),MIN(Assumptions!G59,MAX(0,((('Consolidated P&amp;L'!G23+'Consolidated P&amp;L'!H23+'Consolidated P&amp;L'!I23+'Consolidated P&amp;L'!J23+'Consolidated P&amp;L'!K23+'Consolidated P&amp;L'!L23+'Consolidated P&amp;L'!M23+'Consolidated P&amp;L'!N23+'Consolidated P&amp;L'!O23+'Consolidated P&amp;L'!P23+'Consolidated P&amp;L'!Q23+'Consolidated P&amp;L'!R23)*12/12+Assumptions!H59)*Assumptions!B8)-R5)),0)</f>
        <v/>
      </c>
      <c r="S15" s="156">
        <f>IF(AND(Assumptions!B59&lt;&gt;"",IFERROR(DATEVALUE(TEXT(Assumptions!B59,"MM/DD/YYYY")),0)&gt;=DATE(2028,2,1),IFERROR(DATEVALUE(TEXT(Assumptions!B59,"MM/DD/YYYY")),0)&lt;=DATE(2028,2,29)),MIN(Assumptions!G59,MAX(0,((('Consolidated P&amp;L'!H23+'Consolidated P&amp;L'!I23+'Consolidated P&amp;L'!J23+'Consolidated P&amp;L'!K23+'Consolidated P&amp;L'!L23+'Consolidated P&amp;L'!M23+'Consolidated P&amp;L'!N23+'Consolidated P&amp;L'!O23+'Consolidated P&amp;L'!P23+'Consolidated P&amp;L'!Q23+'Consolidated P&amp;L'!R23+'Consolidated P&amp;L'!S23)*12/12+Assumptions!H59)*Assumptions!B8)-S5)),0)</f>
        <v/>
      </c>
      <c r="T15" s="156">
        <f>IF(AND(Assumptions!B59&lt;&gt;"",IFERROR(DATEVALUE(TEXT(Assumptions!B59,"MM/DD/YYYY")),0)&gt;=DATE(2028,3,1),IFERROR(DATEVALUE(TEXT(Assumptions!B59,"MM/DD/YYYY")),0)&lt;=DATE(2028,3,31)),MIN(Assumptions!G59,MAX(0,((('Consolidated P&amp;L'!I23+'Consolidated P&amp;L'!J23+'Consolidated P&amp;L'!K23+'Consolidated P&amp;L'!L23+'Consolidated P&amp;L'!M23+'Consolidated P&amp;L'!N23+'Consolidated P&amp;L'!O23+'Consolidated P&amp;L'!P23+'Consolidated P&amp;L'!Q23+'Consolidated P&amp;L'!R23+'Consolidated P&amp;L'!S23+'Consolidated P&amp;L'!T23)*12/12+Assumptions!H59)*Assumptions!B8)-T5)),0)</f>
        <v/>
      </c>
      <c r="U15" s="156">
        <f>IF(AND(Assumptions!B59&lt;&gt;"",IFERROR(DATEVALUE(TEXT(Assumptions!B59,"MM/DD/YYYY")),0)&gt;=DATE(2028,4,1),IFERROR(DATEVALUE(TEXT(Assumptions!B59,"MM/DD/YYYY")),0)&lt;=DATE(2028,4,30)),MIN(Assumptions!G59,MAX(0,((('Consolidated P&amp;L'!J23+'Consolidated P&amp;L'!K23+'Consolidated P&amp;L'!L23+'Consolidated P&amp;L'!M23+'Consolidated P&amp;L'!N23+'Consolidated P&amp;L'!O23+'Consolidated P&amp;L'!P23+'Consolidated P&amp;L'!Q23+'Consolidated P&amp;L'!R23+'Consolidated P&amp;L'!S23+'Consolidated P&amp;L'!T23+'Consolidated P&amp;L'!U23)*12/12+Assumptions!H59)*Assumptions!B8)-U5)),0)</f>
        <v/>
      </c>
      <c r="V15" s="156">
        <f>IF(AND(Assumptions!B59&lt;&gt;"",IFERROR(DATEVALUE(TEXT(Assumptions!B59,"MM/DD/YYYY")),0)&gt;=DATE(2028,5,1),IFERROR(DATEVALUE(TEXT(Assumptions!B59,"MM/DD/YYYY")),0)&lt;=DATE(2028,5,31)),MIN(Assumptions!G59,MAX(0,((('Consolidated P&amp;L'!K23+'Consolidated P&amp;L'!L23+'Consolidated P&amp;L'!M23+'Consolidated P&amp;L'!N23+'Consolidated P&amp;L'!O23+'Consolidated P&amp;L'!P23+'Consolidated P&amp;L'!Q23+'Consolidated P&amp;L'!R23+'Consolidated P&amp;L'!S23+'Consolidated P&amp;L'!T23+'Consolidated P&amp;L'!U23+'Consolidated P&amp;L'!V23)*12/12+Assumptions!H59)*Assumptions!B8)-V5)),0)</f>
        <v/>
      </c>
      <c r="W15" s="156">
        <f>IF(AND(Assumptions!B59&lt;&gt;"",IFERROR(DATEVALUE(TEXT(Assumptions!B59,"MM/DD/YYYY")),0)&gt;=DATE(2028,6,1),IFERROR(DATEVALUE(TEXT(Assumptions!B59,"MM/DD/YYYY")),0)&lt;=DATE(2028,6,30)),MIN(Assumptions!G59,MAX(0,((('Consolidated P&amp;L'!L23+'Consolidated P&amp;L'!M23+'Consolidated P&amp;L'!N23+'Consolidated P&amp;L'!O23+'Consolidated P&amp;L'!P23+'Consolidated P&amp;L'!Q23+'Consolidated P&amp;L'!R23+'Consolidated P&amp;L'!S23+'Consolidated P&amp;L'!T23+'Consolidated P&amp;L'!U23+'Consolidated P&amp;L'!V23+'Consolidated P&amp;L'!W23)*12/12+Assumptions!H59)*Assumptions!B8)-W5)),0)</f>
        <v/>
      </c>
      <c r="X15" s="156">
        <f>IF(AND(Assumptions!B59&lt;&gt;"",IFERROR(DATEVALUE(TEXT(Assumptions!B59,"MM/DD/YYYY")),0)&gt;=DATE(2028,7,1),IFERROR(DATEVALUE(TEXT(Assumptions!B59,"MM/DD/YYYY")),0)&lt;=DATE(2028,7,31)),MIN(Assumptions!G59,MAX(0,((('Consolidated P&amp;L'!M23+'Consolidated P&amp;L'!N23+'Consolidated P&amp;L'!O23+'Consolidated P&amp;L'!P23+'Consolidated P&amp;L'!Q23+'Consolidated P&amp;L'!R23+'Consolidated P&amp;L'!S23+'Consolidated P&amp;L'!T23+'Consolidated P&amp;L'!U23+'Consolidated P&amp;L'!V23+'Consolidated P&amp;L'!W23+'Consolidated P&amp;L'!X23)*12/12+Assumptions!H59)*Assumptions!B8)-X5)),0)</f>
        <v/>
      </c>
      <c r="Y15" s="156">
        <f>IF(AND(Assumptions!B59&lt;&gt;"",IFERROR(DATEVALUE(TEXT(Assumptions!B59,"MM/DD/YYYY")),0)&gt;=DATE(2028,8,1),IFERROR(DATEVALUE(TEXT(Assumptions!B59,"MM/DD/YYYY")),0)&lt;=DATE(2028,8,31)),MIN(Assumptions!G59,MAX(0,((('Consolidated P&amp;L'!N23+'Consolidated P&amp;L'!O23+'Consolidated P&amp;L'!P23+'Consolidated P&amp;L'!Q23+'Consolidated P&amp;L'!R23+'Consolidated P&amp;L'!S23+'Consolidated P&amp;L'!T23+'Consolidated P&amp;L'!U23+'Consolidated P&amp;L'!V23+'Consolidated P&amp;L'!W23+'Consolidated P&amp;L'!X23+'Consolidated P&amp;L'!Y23)*12/12+Assumptions!H59)*Assumptions!B8)-Y5)),0)</f>
        <v/>
      </c>
      <c r="Z15" s="156">
        <f>IF(AND(Assumptions!B59&lt;&gt;"",IFERROR(DATEVALUE(TEXT(Assumptions!B59,"MM/DD/YYYY")),0)&gt;=DATE(2028,9,1),IFERROR(DATEVALUE(TEXT(Assumptions!B59,"MM/DD/YYYY")),0)&lt;=DATE(2028,9,30)),MIN(Assumptions!G59,MAX(0,((('Consolidated P&amp;L'!O23+'Consolidated P&amp;L'!P23+'Consolidated P&amp;L'!Q23+'Consolidated P&amp;L'!R23+'Consolidated P&amp;L'!S23+'Consolidated P&amp;L'!T23+'Consolidated P&amp;L'!U23+'Consolidated P&amp;L'!V23+'Consolidated P&amp;L'!W23+'Consolidated P&amp;L'!X23+'Consolidated P&amp;L'!Y23+'Consolidated P&amp;L'!Z23)*12/12+Assumptions!H59)*Assumptions!B8)-Z5)),0)</f>
        <v/>
      </c>
      <c r="AA15" s="156">
        <f>IF(AND(Assumptions!B59&lt;&gt;"",IFERROR(DATEVALUE(TEXT(Assumptions!B59,"MM/DD/YYYY")),0)&gt;=DATE(2028,10,1),IFERROR(DATEVALUE(TEXT(Assumptions!B59,"MM/DD/YYYY")),0)&lt;=DATE(2028,10,31)),MIN(Assumptions!G59,MAX(0,((('Consolidated P&amp;L'!P23+'Consolidated P&amp;L'!Q23+'Consolidated P&amp;L'!R23+'Consolidated P&amp;L'!S23+'Consolidated P&amp;L'!T23+'Consolidated P&amp;L'!U23+'Consolidated P&amp;L'!V23+'Consolidated P&amp;L'!W23+'Consolidated P&amp;L'!X23+'Consolidated P&amp;L'!Y23+'Consolidated P&amp;L'!Z23+'Consolidated P&amp;L'!AA23)*12/12+Assumptions!H59)*Assumptions!B8)-AA5)),0)</f>
        <v/>
      </c>
      <c r="AB15" s="156">
        <f>IF(AND(Assumptions!B59&lt;&gt;"",IFERROR(DATEVALUE(TEXT(Assumptions!B59,"MM/DD/YYYY")),0)&gt;=DATE(2028,11,1),IFERROR(DATEVALUE(TEXT(Assumptions!B59,"MM/DD/YYYY")),0)&lt;=DATE(2028,11,30)),MIN(Assumptions!G59,MAX(0,((('Consolidated P&amp;L'!Q23+'Consolidated P&amp;L'!R23+'Consolidated P&amp;L'!S23+'Consolidated P&amp;L'!T23+'Consolidated P&amp;L'!U23+'Consolidated P&amp;L'!V23+'Consolidated P&amp;L'!W23+'Consolidated P&amp;L'!X23+'Consolidated P&amp;L'!Y23+'Consolidated P&amp;L'!Z23+'Consolidated P&amp;L'!AA23+'Consolidated P&amp;L'!AB23)*12/12+Assumptions!H59)*Assumptions!B8)-AB5)),0)</f>
        <v/>
      </c>
      <c r="AC15" s="156">
        <f>IF(AND(Assumptions!B59&lt;&gt;"",IFERROR(DATEVALUE(TEXT(Assumptions!B59,"MM/DD/YYYY")),0)&gt;=DATE(2028,12,1),IFERROR(DATEVALUE(TEXT(Assumptions!B59,"MM/DD/YYYY")),0)&lt;=DATE(2028,12,31)),MIN(Assumptions!G59,MAX(0,((('Consolidated P&amp;L'!R23+'Consolidated P&amp;L'!S23+'Consolidated P&amp;L'!T23+'Consolidated P&amp;L'!U23+'Consolidated P&amp;L'!V23+'Consolidated P&amp;L'!W23+'Consolidated P&amp;L'!X23+'Consolidated P&amp;L'!Y23+'Consolidated P&amp;L'!Z23+'Consolidated P&amp;L'!AA23+'Consolidated P&amp;L'!AB23+'Consolidated P&amp;L'!AC23)*12/12+Assumptions!H59)*Assumptions!B8)-AC5)),0)</f>
        <v/>
      </c>
      <c r="AD15" s="156">
        <f>IF(AND(Assumptions!B59&lt;&gt;"",IFERROR(DATEVALUE(TEXT(Assumptions!B59,"MM/DD/YYYY")),0)&gt;=DATE(2029,1,1),IFERROR(DATEVALUE(TEXT(Assumptions!B59,"MM/DD/YYYY")),0)&lt;=DATE(2029,1,31)),MIN(Assumptions!G59,MAX(0,((('Consolidated P&amp;L'!S23+'Consolidated P&amp;L'!T23+'Consolidated P&amp;L'!U23+'Consolidated P&amp;L'!V23+'Consolidated P&amp;L'!W23+'Consolidated P&amp;L'!X23+'Consolidated P&amp;L'!Y23+'Consolidated P&amp;L'!Z23+'Consolidated P&amp;L'!AA23+'Consolidated P&amp;L'!AB23+'Consolidated P&amp;L'!AC23+'Consolidated P&amp;L'!AD23)*12/12+Assumptions!H59)*Assumptions!B8)-AD5)),0)</f>
        <v/>
      </c>
      <c r="AE15" s="156">
        <f>IF(AND(Assumptions!B59&lt;&gt;"",IFERROR(DATEVALUE(TEXT(Assumptions!B59,"MM/DD/YYYY")),0)&gt;=DATE(2029,2,1),IFERROR(DATEVALUE(TEXT(Assumptions!B59,"MM/DD/YYYY")),0)&lt;=DATE(2029,2,28)),MIN(Assumptions!G59,MAX(0,((('Consolidated P&amp;L'!T23+'Consolidated P&amp;L'!U23+'Consolidated P&amp;L'!V23+'Consolidated P&amp;L'!W23+'Consolidated P&amp;L'!X23+'Consolidated P&amp;L'!Y23+'Consolidated P&amp;L'!Z23+'Consolidated P&amp;L'!AA23+'Consolidated P&amp;L'!AB23+'Consolidated P&amp;L'!AC23+'Consolidated P&amp;L'!AD23+'Consolidated P&amp;L'!AE23)*12/12+Assumptions!H59)*Assumptions!B8)-AE5)),0)</f>
        <v/>
      </c>
      <c r="AF15" s="156">
        <f>IF(AND(Assumptions!B59&lt;&gt;"",IFERROR(DATEVALUE(TEXT(Assumptions!B59,"MM/DD/YYYY")),0)&gt;=DATE(2029,3,1),IFERROR(DATEVALUE(TEXT(Assumptions!B59,"MM/DD/YYYY")),0)&lt;=DATE(2029,3,31)),MIN(Assumptions!G59,MAX(0,((('Consolidated P&amp;L'!U23+'Consolidated P&amp;L'!V23+'Consolidated P&amp;L'!W23+'Consolidated P&amp;L'!X23+'Consolidated P&amp;L'!Y23+'Consolidated P&amp;L'!Z23+'Consolidated P&amp;L'!AA23+'Consolidated P&amp;L'!AB23+'Consolidated P&amp;L'!AC23+'Consolidated P&amp;L'!AD23+'Consolidated P&amp;L'!AE23+'Consolidated P&amp;L'!AF23)*12/12+Assumptions!H59)*Assumptions!B8)-AF5)),0)</f>
        <v/>
      </c>
      <c r="AG15" s="156">
        <f>IF(AND(Assumptions!B59&lt;&gt;"",IFERROR(DATEVALUE(TEXT(Assumptions!B59,"MM/DD/YYYY")),0)&gt;=DATE(2029,4,1),IFERROR(DATEVALUE(TEXT(Assumptions!B59,"MM/DD/YYYY")),0)&lt;=DATE(2029,4,30)),MIN(Assumptions!G59,MAX(0,((('Consolidated P&amp;L'!V23+'Consolidated P&amp;L'!W23+'Consolidated P&amp;L'!X23+'Consolidated P&amp;L'!Y23+'Consolidated P&amp;L'!Z23+'Consolidated P&amp;L'!AA23+'Consolidated P&amp;L'!AB23+'Consolidated P&amp;L'!AC23+'Consolidated P&amp;L'!AD23+'Consolidated P&amp;L'!AE23+'Consolidated P&amp;L'!AF23+'Consolidated P&amp;L'!AG23)*12/12+Assumptions!H59)*Assumptions!B8)-AG5)),0)</f>
        <v/>
      </c>
      <c r="AH15" s="156">
        <f>IF(AND(Assumptions!B59&lt;&gt;"",IFERROR(DATEVALUE(TEXT(Assumptions!B59,"MM/DD/YYYY")),0)&gt;=DATE(2029,5,1),IFERROR(DATEVALUE(TEXT(Assumptions!B59,"MM/DD/YYYY")),0)&lt;=DATE(2029,5,31)),MIN(Assumptions!G59,MAX(0,((('Consolidated P&amp;L'!W23+'Consolidated P&amp;L'!X23+'Consolidated P&amp;L'!Y23+'Consolidated P&amp;L'!Z23+'Consolidated P&amp;L'!AA23+'Consolidated P&amp;L'!AB23+'Consolidated P&amp;L'!AC23+'Consolidated P&amp;L'!AD23+'Consolidated P&amp;L'!AE23+'Consolidated P&amp;L'!AF23+'Consolidated P&amp;L'!AG23+'Consolidated P&amp;L'!AH23)*12/12+Assumptions!H59)*Assumptions!B8)-AH5)),0)</f>
        <v/>
      </c>
      <c r="AI15" s="156">
        <f>IF(AND(Assumptions!B59&lt;&gt;"",IFERROR(DATEVALUE(TEXT(Assumptions!B59,"MM/DD/YYYY")),0)&gt;=DATE(2029,6,1),IFERROR(DATEVALUE(TEXT(Assumptions!B59,"MM/DD/YYYY")),0)&lt;=DATE(2029,6,30)),MIN(Assumptions!G59,MAX(0,((('Consolidated P&amp;L'!X23+'Consolidated P&amp;L'!Y23+'Consolidated P&amp;L'!Z23+'Consolidated P&amp;L'!AA23+'Consolidated P&amp;L'!AB23+'Consolidated P&amp;L'!AC23+'Consolidated P&amp;L'!AD23+'Consolidated P&amp;L'!AE23+'Consolidated P&amp;L'!AF23+'Consolidated P&amp;L'!AG23+'Consolidated P&amp;L'!AH23+'Consolidated P&amp;L'!AI23)*12/12+Assumptions!H59)*Assumptions!B8)-AI5)),0)</f>
        <v/>
      </c>
      <c r="AJ15" s="156">
        <f>IF(AND(Assumptions!B59&lt;&gt;"",IFERROR(DATEVALUE(TEXT(Assumptions!B59,"MM/DD/YYYY")),0)&gt;=DATE(2029,7,1),IFERROR(DATEVALUE(TEXT(Assumptions!B59,"MM/DD/YYYY")),0)&lt;=DATE(2029,7,31)),MIN(Assumptions!G59,MAX(0,((('Consolidated P&amp;L'!Y23+'Consolidated P&amp;L'!Z23+'Consolidated P&amp;L'!AA23+'Consolidated P&amp;L'!AB23+'Consolidated P&amp;L'!AC23+'Consolidated P&amp;L'!AD23+'Consolidated P&amp;L'!AE23+'Consolidated P&amp;L'!AF23+'Consolidated P&amp;L'!AG23+'Consolidated P&amp;L'!AH23+'Consolidated P&amp;L'!AI23+'Consolidated P&amp;L'!AJ23)*12/12+Assumptions!H59)*Assumptions!B8)-AJ5)),0)</f>
        <v/>
      </c>
      <c r="AK15" s="156">
        <f>IF(AND(Assumptions!B59&lt;&gt;"",IFERROR(DATEVALUE(TEXT(Assumptions!B59,"MM/DD/YYYY")),0)&gt;=DATE(2029,8,1),IFERROR(DATEVALUE(TEXT(Assumptions!B59,"MM/DD/YYYY")),0)&lt;=DATE(2029,8,31)),MIN(Assumptions!G59,MAX(0,((('Consolidated P&amp;L'!Z23+'Consolidated P&amp;L'!AA23+'Consolidated P&amp;L'!AB23+'Consolidated P&amp;L'!AC23+'Consolidated P&amp;L'!AD23+'Consolidated P&amp;L'!AE23+'Consolidated P&amp;L'!AF23+'Consolidated P&amp;L'!AG23+'Consolidated P&amp;L'!AH23+'Consolidated P&amp;L'!AI23+'Consolidated P&amp;L'!AJ23+'Consolidated P&amp;L'!AK23)*12/12+Assumptions!H59)*Assumptions!B8)-AK5)),0)</f>
        <v/>
      </c>
      <c r="AL15" s="156">
        <f>IF(AND(Assumptions!B59&lt;&gt;"",IFERROR(DATEVALUE(TEXT(Assumptions!B59,"MM/DD/YYYY")),0)&gt;=DATE(2029,9,1),IFERROR(DATEVALUE(TEXT(Assumptions!B59,"MM/DD/YYYY")),0)&lt;=DATE(2029,9,30)),MIN(Assumptions!G59,MAX(0,((('Consolidated P&amp;L'!AA23+'Consolidated P&amp;L'!AB23+'Consolidated P&amp;L'!AC23+'Consolidated P&amp;L'!AD23+'Consolidated P&amp;L'!AE23+'Consolidated P&amp;L'!AF23+'Consolidated P&amp;L'!AG23+'Consolidated P&amp;L'!AH23+'Consolidated P&amp;L'!AI23+'Consolidated P&amp;L'!AJ23+'Consolidated P&amp;L'!AK23+'Consolidated P&amp;L'!AL23)*12/12+Assumptions!H59)*Assumptions!B8)-AL5)),0)</f>
        <v/>
      </c>
      <c r="AM15" s="156">
        <f>IF(AND(Assumptions!B59&lt;&gt;"",IFERROR(DATEVALUE(TEXT(Assumptions!B59,"MM/DD/YYYY")),0)&gt;=DATE(2029,10,1),IFERROR(DATEVALUE(TEXT(Assumptions!B59,"MM/DD/YYYY")),0)&lt;=DATE(2029,10,31)),MIN(Assumptions!G59,MAX(0,((('Consolidated P&amp;L'!AB23+'Consolidated P&amp;L'!AC23+'Consolidated P&amp;L'!AD23+'Consolidated P&amp;L'!AE23+'Consolidated P&amp;L'!AF23+'Consolidated P&amp;L'!AG23+'Consolidated P&amp;L'!AH23+'Consolidated P&amp;L'!AI23+'Consolidated P&amp;L'!AJ23+'Consolidated P&amp;L'!AK23+'Consolidated P&amp;L'!AL23+'Consolidated P&amp;L'!AM23)*12/12+Assumptions!H59)*Assumptions!B8)-AM5)),0)</f>
        <v/>
      </c>
      <c r="AN15" s="156">
        <f>IF(AND(Assumptions!B59&lt;&gt;"",IFERROR(DATEVALUE(TEXT(Assumptions!B59,"MM/DD/YYYY")),0)&gt;=DATE(2029,11,1),IFERROR(DATEVALUE(TEXT(Assumptions!B59,"MM/DD/YYYY")),0)&lt;=DATE(2029,11,30)),MIN(Assumptions!G59,MAX(0,((('Consolidated P&amp;L'!AC23+'Consolidated P&amp;L'!AD23+'Consolidated P&amp;L'!AE23+'Consolidated P&amp;L'!AF23+'Consolidated P&amp;L'!AG23+'Consolidated P&amp;L'!AH23+'Consolidated P&amp;L'!AI23+'Consolidated P&amp;L'!AJ23+'Consolidated P&amp;L'!AK23+'Consolidated P&amp;L'!AL23+'Consolidated P&amp;L'!AM23+'Consolidated P&amp;L'!AN23)*12/12+Assumptions!H59)*Assumptions!B8)-AN5)),0)</f>
        <v/>
      </c>
      <c r="AO15" s="156">
        <f>IF(AND(Assumptions!B59&lt;&gt;"",IFERROR(DATEVALUE(TEXT(Assumptions!B59,"MM/DD/YYYY")),0)&gt;=DATE(2029,12,1),IFERROR(DATEVALUE(TEXT(Assumptions!B59,"MM/DD/YYYY")),0)&lt;=DATE(2029,12,31)),MIN(Assumptions!G59,MAX(0,((('Consolidated P&amp;L'!AD23+'Consolidated P&amp;L'!AE23+'Consolidated P&amp;L'!AF23+'Consolidated P&amp;L'!AG23+'Consolidated P&amp;L'!AH23+'Consolidated P&amp;L'!AI23+'Consolidated P&amp;L'!AJ23+'Consolidated P&amp;L'!AK23+'Consolidated P&amp;L'!AL23+'Consolidated P&amp;L'!AM23+'Consolidated P&amp;L'!AN23+'Consolidated P&amp;L'!AO23)*12/12+Assumptions!H59)*Assumptions!B8)-AO5)),0)</f>
        <v/>
      </c>
      <c r="AP15" s="156">
        <f>IF(AND(Assumptions!B59&lt;&gt;"",IFERROR(DATEVALUE(TEXT(Assumptions!B59,"MM/DD/YYYY")),0)&gt;=DATE(2030,1,1),IFERROR(DATEVALUE(TEXT(Assumptions!B59,"MM/DD/YYYY")),0)&lt;=DATE(2030,1,31)),MIN(Assumptions!G59,MAX(0,((('Consolidated P&amp;L'!AE23+'Consolidated P&amp;L'!AF23+'Consolidated P&amp;L'!AG23+'Consolidated P&amp;L'!AH23+'Consolidated P&amp;L'!AI23+'Consolidated P&amp;L'!AJ23+'Consolidated P&amp;L'!AK23+'Consolidated P&amp;L'!AL23+'Consolidated P&amp;L'!AM23+'Consolidated P&amp;L'!AN23+'Consolidated P&amp;L'!AO23+'Consolidated P&amp;L'!AP23)*12/12+Assumptions!H59)*Assumptions!B8)-AP5)),0)</f>
        <v/>
      </c>
      <c r="AQ15" s="156">
        <f>IF(AND(Assumptions!B59&lt;&gt;"",IFERROR(DATEVALUE(TEXT(Assumptions!B59,"MM/DD/YYYY")),0)&gt;=DATE(2030,2,1),IFERROR(DATEVALUE(TEXT(Assumptions!B59,"MM/DD/YYYY")),0)&lt;=DATE(2030,2,28)),MIN(Assumptions!G59,MAX(0,((('Consolidated P&amp;L'!AF23+'Consolidated P&amp;L'!AG23+'Consolidated P&amp;L'!AH23+'Consolidated P&amp;L'!AI23+'Consolidated P&amp;L'!AJ23+'Consolidated P&amp;L'!AK23+'Consolidated P&amp;L'!AL23+'Consolidated P&amp;L'!AM23+'Consolidated P&amp;L'!AN23+'Consolidated P&amp;L'!AO23+'Consolidated P&amp;L'!AP23+'Consolidated P&amp;L'!AQ23)*12/12+Assumptions!H59)*Assumptions!B8)-AQ5)),0)</f>
        <v/>
      </c>
      <c r="AR15" s="156">
        <f>IF(AND(Assumptions!B59&lt;&gt;"",IFERROR(DATEVALUE(TEXT(Assumptions!B59,"MM/DD/YYYY")),0)&gt;=DATE(2030,3,1),IFERROR(DATEVALUE(TEXT(Assumptions!B59,"MM/DD/YYYY")),0)&lt;=DATE(2030,3,31)),MIN(Assumptions!G59,MAX(0,((('Consolidated P&amp;L'!AG23+'Consolidated P&amp;L'!AH23+'Consolidated P&amp;L'!AI23+'Consolidated P&amp;L'!AJ23+'Consolidated P&amp;L'!AK23+'Consolidated P&amp;L'!AL23+'Consolidated P&amp;L'!AM23+'Consolidated P&amp;L'!AN23+'Consolidated P&amp;L'!AO23+'Consolidated P&amp;L'!AP23+'Consolidated P&amp;L'!AQ23+'Consolidated P&amp;L'!AR23)*12/12+Assumptions!H59)*Assumptions!B8)-AR5)),0)</f>
        <v/>
      </c>
      <c r="AS15" s="156">
        <f>IF(AND(Assumptions!B59&lt;&gt;"",IFERROR(DATEVALUE(TEXT(Assumptions!B59,"MM/DD/YYYY")),0)&gt;=DATE(2030,4,1),IFERROR(DATEVALUE(TEXT(Assumptions!B59,"MM/DD/YYYY")),0)&lt;=DATE(2030,4,30)),MIN(Assumptions!G59,MAX(0,((('Consolidated P&amp;L'!AH23+'Consolidated P&amp;L'!AI23+'Consolidated P&amp;L'!AJ23+'Consolidated P&amp;L'!AK23+'Consolidated P&amp;L'!AL23+'Consolidated P&amp;L'!AM23+'Consolidated P&amp;L'!AN23+'Consolidated P&amp;L'!AO23+'Consolidated P&amp;L'!AP23+'Consolidated P&amp;L'!AQ23+'Consolidated P&amp;L'!AR23+'Consolidated P&amp;L'!AS23)*12/12+Assumptions!H59)*Assumptions!B8)-AS5)),0)</f>
        <v/>
      </c>
      <c r="AT15" s="156">
        <f>IF(AND(Assumptions!B59&lt;&gt;"",IFERROR(DATEVALUE(TEXT(Assumptions!B59,"MM/DD/YYYY")),0)&gt;=DATE(2030,5,1),IFERROR(DATEVALUE(TEXT(Assumptions!B59,"MM/DD/YYYY")),0)&lt;=DATE(2030,5,31)),MIN(Assumptions!G59,MAX(0,((('Consolidated P&amp;L'!AI23+'Consolidated P&amp;L'!AJ23+'Consolidated P&amp;L'!AK23+'Consolidated P&amp;L'!AL23+'Consolidated P&amp;L'!AM23+'Consolidated P&amp;L'!AN23+'Consolidated P&amp;L'!AO23+'Consolidated P&amp;L'!AP23+'Consolidated P&amp;L'!AQ23+'Consolidated P&amp;L'!AR23+'Consolidated P&amp;L'!AS23+'Consolidated P&amp;L'!AT23)*12/12+Assumptions!H59)*Assumptions!B8)-AT5)),0)</f>
        <v/>
      </c>
      <c r="AU15" s="156">
        <f>IF(AND(Assumptions!B59&lt;&gt;"",IFERROR(DATEVALUE(TEXT(Assumptions!B59,"MM/DD/YYYY")),0)&gt;=DATE(2030,6,1),IFERROR(DATEVALUE(TEXT(Assumptions!B59,"MM/DD/YYYY")),0)&lt;=DATE(2030,6,30)),MIN(Assumptions!G59,MAX(0,((('Consolidated P&amp;L'!AJ23+'Consolidated P&amp;L'!AK23+'Consolidated P&amp;L'!AL23+'Consolidated P&amp;L'!AM23+'Consolidated P&amp;L'!AN23+'Consolidated P&amp;L'!AO23+'Consolidated P&amp;L'!AP23+'Consolidated P&amp;L'!AQ23+'Consolidated P&amp;L'!AR23+'Consolidated P&amp;L'!AS23+'Consolidated P&amp;L'!AT23+'Consolidated P&amp;L'!AU23)*12/12+Assumptions!H59)*Assumptions!B8)-AU5)),0)</f>
        <v/>
      </c>
      <c r="AV15" s="156">
        <f>IF(AND(Assumptions!B59&lt;&gt;"",IFERROR(DATEVALUE(TEXT(Assumptions!B59,"MM/DD/YYYY")),0)&gt;=DATE(2030,7,1),IFERROR(DATEVALUE(TEXT(Assumptions!B59,"MM/DD/YYYY")),0)&lt;=DATE(2030,7,31)),MIN(Assumptions!G59,MAX(0,((('Consolidated P&amp;L'!AK23+'Consolidated P&amp;L'!AL23+'Consolidated P&amp;L'!AM23+'Consolidated P&amp;L'!AN23+'Consolidated P&amp;L'!AO23+'Consolidated P&amp;L'!AP23+'Consolidated P&amp;L'!AQ23+'Consolidated P&amp;L'!AR23+'Consolidated P&amp;L'!AS23+'Consolidated P&amp;L'!AT23+'Consolidated P&amp;L'!AU23+'Consolidated P&amp;L'!AV23)*12/12+Assumptions!H59)*Assumptions!B8)-AV5)),0)</f>
        <v/>
      </c>
      <c r="AW15" s="156">
        <f>IF(AND(Assumptions!B59&lt;&gt;"",IFERROR(DATEVALUE(TEXT(Assumptions!B59,"MM/DD/YYYY")),0)&gt;=DATE(2030,8,1),IFERROR(DATEVALUE(TEXT(Assumptions!B59,"MM/DD/YYYY")),0)&lt;=DATE(2030,8,31)),MIN(Assumptions!G59,MAX(0,((('Consolidated P&amp;L'!AL23+'Consolidated P&amp;L'!AM23+'Consolidated P&amp;L'!AN23+'Consolidated P&amp;L'!AO23+'Consolidated P&amp;L'!AP23+'Consolidated P&amp;L'!AQ23+'Consolidated P&amp;L'!AR23+'Consolidated P&amp;L'!AS23+'Consolidated P&amp;L'!AT23+'Consolidated P&amp;L'!AU23+'Consolidated P&amp;L'!AV23+'Consolidated P&amp;L'!AW23)*12/12+Assumptions!H59)*Assumptions!B8)-AW5)),0)</f>
        <v/>
      </c>
      <c r="AX15" s="156">
        <f>IF(AND(Assumptions!B59&lt;&gt;"",IFERROR(DATEVALUE(TEXT(Assumptions!B59,"MM/DD/YYYY")),0)&gt;=DATE(2030,9,1),IFERROR(DATEVALUE(TEXT(Assumptions!B59,"MM/DD/YYYY")),0)&lt;=DATE(2030,9,30)),MIN(Assumptions!G59,MAX(0,((('Consolidated P&amp;L'!AM23+'Consolidated P&amp;L'!AN23+'Consolidated P&amp;L'!AO23+'Consolidated P&amp;L'!AP23+'Consolidated P&amp;L'!AQ23+'Consolidated P&amp;L'!AR23+'Consolidated P&amp;L'!AS23+'Consolidated P&amp;L'!AT23+'Consolidated P&amp;L'!AU23+'Consolidated P&amp;L'!AV23+'Consolidated P&amp;L'!AW23+'Consolidated P&amp;L'!AX23)*12/12+Assumptions!H59)*Assumptions!B8)-AX5)),0)</f>
        <v/>
      </c>
      <c r="AY15" s="156">
        <f>IF(AND(Assumptions!B59&lt;&gt;"",IFERROR(DATEVALUE(TEXT(Assumptions!B59,"MM/DD/YYYY")),0)&gt;=DATE(2030,10,1),IFERROR(DATEVALUE(TEXT(Assumptions!B59,"MM/DD/YYYY")),0)&lt;=DATE(2030,10,31)),MIN(Assumptions!G59,MAX(0,((('Consolidated P&amp;L'!AN23+'Consolidated P&amp;L'!AO23+'Consolidated P&amp;L'!AP23+'Consolidated P&amp;L'!AQ23+'Consolidated P&amp;L'!AR23+'Consolidated P&amp;L'!AS23+'Consolidated P&amp;L'!AT23+'Consolidated P&amp;L'!AU23+'Consolidated P&amp;L'!AV23+'Consolidated P&amp;L'!AW23+'Consolidated P&amp;L'!AX23+'Consolidated P&amp;L'!AY23)*12/12+Assumptions!H59)*Assumptions!B8)-AY5)),0)</f>
        <v/>
      </c>
      <c r="AZ15" s="156">
        <f>IF(AND(Assumptions!B59&lt;&gt;"",IFERROR(DATEVALUE(TEXT(Assumptions!B59,"MM/DD/YYYY")),0)&gt;=DATE(2030,11,1),IFERROR(DATEVALUE(TEXT(Assumptions!B59,"MM/DD/YYYY")),0)&lt;=DATE(2030,11,30)),MIN(Assumptions!G59,MAX(0,((('Consolidated P&amp;L'!AO23+'Consolidated P&amp;L'!AP23+'Consolidated P&amp;L'!AQ23+'Consolidated P&amp;L'!AR23+'Consolidated P&amp;L'!AS23+'Consolidated P&amp;L'!AT23+'Consolidated P&amp;L'!AU23+'Consolidated P&amp;L'!AV23+'Consolidated P&amp;L'!AW23+'Consolidated P&amp;L'!AX23+'Consolidated P&amp;L'!AY23+'Consolidated P&amp;L'!AZ23)*12/12+Assumptions!H59)*Assumptions!B8)-AZ5)),0)</f>
        <v/>
      </c>
      <c r="BA15" s="156">
        <f>IF(AND(Assumptions!B59&lt;&gt;"",IFERROR(DATEVALUE(TEXT(Assumptions!B59,"MM/DD/YYYY")),0)&gt;=DATE(2030,12,1),IFERROR(DATEVALUE(TEXT(Assumptions!B59,"MM/DD/YYYY")),0)&lt;=DATE(2030,12,31)),MIN(Assumptions!G59,MAX(0,((('Consolidated P&amp;L'!AP23+'Consolidated P&amp;L'!AQ23+'Consolidated P&amp;L'!AR23+'Consolidated P&amp;L'!AS23+'Consolidated P&amp;L'!AT23+'Consolidated P&amp;L'!AU23+'Consolidated P&amp;L'!AV23+'Consolidated P&amp;L'!AW23+'Consolidated P&amp;L'!AX23+'Consolidated P&amp;L'!AY23+'Consolidated P&amp;L'!AZ23+'Consolidated P&amp;L'!BA23)*12/12+Assumptions!H59)*Assumptions!B8)-BA5)),0)</f>
        <v/>
      </c>
      <c r="BB15" s="156">
        <f>IF(AND(Assumptions!B59&lt;&gt;"",IFERROR(DATEVALUE(TEXT(Assumptions!B59,"MM/DD/YYYY")),0)&gt;=DATE(2031,1,1),IFERROR(DATEVALUE(TEXT(Assumptions!B59,"MM/DD/YYYY")),0)&lt;=DATE(2031,1,31)),MIN(Assumptions!G59,MAX(0,((('Consolidated P&amp;L'!AQ23+'Consolidated P&amp;L'!AR23+'Consolidated P&amp;L'!AS23+'Consolidated P&amp;L'!AT23+'Consolidated P&amp;L'!AU23+'Consolidated P&amp;L'!AV23+'Consolidated P&amp;L'!AW23+'Consolidated P&amp;L'!AX23+'Consolidated P&amp;L'!AY23+'Consolidated P&amp;L'!AZ23+'Consolidated P&amp;L'!BA23+'Consolidated P&amp;L'!BB23)*12/12+Assumptions!H59)*Assumptions!B8)-BB5)),0)</f>
        <v/>
      </c>
      <c r="BC15" s="156">
        <f>IF(AND(Assumptions!B59&lt;&gt;"",IFERROR(DATEVALUE(TEXT(Assumptions!B59,"MM/DD/YYYY")),0)&gt;=DATE(2031,2,1),IFERROR(DATEVALUE(TEXT(Assumptions!B59,"MM/DD/YYYY")),0)&lt;=DATE(2031,2,28)),MIN(Assumptions!G59,MAX(0,((('Consolidated P&amp;L'!AR23+'Consolidated P&amp;L'!AS23+'Consolidated P&amp;L'!AT23+'Consolidated P&amp;L'!AU23+'Consolidated P&amp;L'!AV23+'Consolidated P&amp;L'!AW23+'Consolidated P&amp;L'!AX23+'Consolidated P&amp;L'!AY23+'Consolidated P&amp;L'!AZ23+'Consolidated P&amp;L'!BA23+'Consolidated P&amp;L'!BB23+'Consolidated P&amp;L'!BC23)*12/12+Assumptions!H59)*Assumptions!B8)-BC5)),0)</f>
        <v/>
      </c>
      <c r="BD15" s="156">
        <f>IF(AND(Assumptions!B59&lt;&gt;"",IFERROR(DATEVALUE(TEXT(Assumptions!B59,"MM/DD/YYYY")),0)&gt;=DATE(2031,3,1),IFERROR(DATEVALUE(TEXT(Assumptions!B59,"MM/DD/YYYY")),0)&lt;=DATE(2031,3,31)),MIN(Assumptions!G59,MAX(0,((('Consolidated P&amp;L'!AS23+'Consolidated P&amp;L'!AT23+'Consolidated P&amp;L'!AU23+'Consolidated P&amp;L'!AV23+'Consolidated P&amp;L'!AW23+'Consolidated P&amp;L'!AX23+'Consolidated P&amp;L'!AY23+'Consolidated P&amp;L'!AZ23+'Consolidated P&amp;L'!BA23+'Consolidated P&amp;L'!BB23+'Consolidated P&amp;L'!BC23+'Consolidated P&amp;L'!BD23)*12/12+Assumptions!H59)*Assumptions!B8)-BD5)),0)</f>
        <v/>
      </c>
      <c r="BE15" s="156">
        <f>IF(AND(Assumptions!B59&lt;&gt;"",IFERROR(DATEVALUE(TEXT(Assumptions!B59,"MM/DD/YYYY")),0)&gt;=DATE(2031,4,1),IFERROR(DATEVALUE(TEXT(Assumptions!B59,"MM/DD/YYYY")),0)&lt;=DATE(2031,4,30)),MIN(Assumptions!G59,MAX(0,((('Consolidated P&amp;L'!AT23+'Consolidated P&amp;L'!AU23+'Consolidated P&amp;L'!AV23+'Consolidated P&amp;L'!AW23+'Consolidated P&amp;L'!AX23+'Consolidated P&amp;L'!AY23+'Consolidated P&amp;L'!AZ23+'Consolidated P&amp;L'!BA23+'Consolidated P&amp;L'!BB23+'Consolidated P&amp;L'!BC23+'Consolidated P&amp;L'!BD23+'Consolidated P&amp;L'!BE23)*12/12+Assumptions!H59)*Assumptions!B8)-BE5)),0)</f>
        <v/>
      </c>
      <c r="BF15" s="156">
        <f>IF(AND(Assumptions!B59&lt;&gt;"",IFERROR(DATEVALUE(TEXT(Assumptions!B59,"MM/DD/YYYY")),0)&gt;=DATE(2031,5,1),IFERROR(DATEVALUE(TEXT(Assumptions!B59,"MM/DD/YYYY")),0)&lt;=DATE(2031,5,31)),MIN(Assumptions!G59,MAX(0,((('Consolidated P&amp;L'!AU23+'Consolidated P&amp;L'!AV23+'Consolidated P&amp;L'!AW23+'Consolidated P&amp;L'!AX23+'Consolidated P&amp;L'!AY23+'Consolidated P&amp;L'!AZ23+'Consolidated P&amp;L'!BA23+'Consolidated P&amp;L'!BB23+'Consolidated P&amp;L'!BC23+'Consolidated P&amp;L'!BD23+'Consolidated P&amp;L'!BE23+'Consolidated P&amp;L'!BF23)*12/12+Assumptions!H59)*Assumptions!B8)-BF5)),0)</f>
        <v/>
      </c>
      <c r="BG15" s="156">
        <f>IF(AND(Assumptions!B59&lt;&gt;"",IFERROR(DATEVALUE(TEXT(Assumptions!B59,"MM/DD/YYYY")),0)&gt;=DATE(2031,6,1),IFERROR(DATEVALUE(TEXT(Assumptions!B59,"MM/DD/YYYY")),0)&lt;=DATE(2031,6,30)),MIN(Assumptions!G59,MAX(0,((('Consolidated P&amp;L'!AV23+'Consolidated P&amp;L'!AW23+'Consolidated P&amp;L'!AX23+'Consolidated P&amp;L'!AY23+'Consolidated P&amp;L'!AZ23+'Consolidated P&amp;L'!BA23+'Consolidated P&amp;L'!BB23+'Consolidated P&amp;L'!BC23+'Consolidated P&amp;L'!BD23+'Consolidated P&amp;L'!BE23+'Consolidated P&amp;L'!BF23+'Consolidated P&amp;L'!BG23)*12/12+Assumptions!H59)*Assumptions!B8)-BG5)),0)</f>
        <v/>
      </c>
      <c r="BH15" s="156">
        <f>IF(AND(Assumptions!B59&lt;&gt;"",IFERROR(DATEVALUE(TEXT(Assumptions!B59,"MM/DD/YYYY")),0)&gt;=DATE(2031,7,1),IFERROR(DATEVALUE(TEXT(Assumptions!B59,"MM/DD/YYYY")),0)&lt;=DATE(2031,7,31)),MIN(Assumptions!G59,MAX(0,((('Consolidated P&amp;L'!AW23+'Consolidated P&amp;L'!AX23+'Consolidated P&amp;L'!AY23+'Consolidated P&amp;L'!AZ23+'Consolidated P&amp;L'!BA23+'Consolidated P&amp;L'!BB23+'Consolidated P&amp;L'!BC23+'Consolidated P&amp;L'!BD23+'Consolidated P&amp;L'!BE23+'Consolidated P&amp;L'!BF23+'Consolidated P&amp;L'!BG23+'Consolidated P&amp;L'!BH23)*12/12+Assumptions!H59)*Assumptions!B8)-BH5)),0)</f>
        <v/>
      </c>
      <c r="BI15" s="156">
        <f>IF(AND(Assumptions!B59&lt;&gt;"",IFERROR(DATEVALUE(TEXT(Assumptions!B59,"MM/DD/YYYY")),0)&gt;=DATE(2031,8,1),IFERROR(DATEVALUE(TEXT(Assumptions!B59,"MM/DD/YYYY")),0)&lt;=DATE(2031,8,31)),MIN(Assumptions!G59,MAX(0,((('Consolidated P&amp;L'!AX23+'Consolidated P&amp;L'!AY23+'Consolidated P&amp;L'!AZ23+'Consolidated P&amp;L'!BA23+'Consolidated P&amp;L'!BB23+'Consolidated P&amp;L'!BC23+'Consolidated P&amp;L'!BD23+'Consolidated P&amp;L'!BE23+'Consolidated P&amp;L'!BF23+'Consolidated P&amp;L'!BG23+'Consolidated P&amp;L'!BH23+'Consolidated P&amp;L'!BI23)*12/12+Assumptions!H59)*Assumptions!B8)-BI5)),0)</f>
        <v/>
      </c>
      <c r="BJ15" s="156">
        <f>IF(AND(Assumptions!B59&lt;&gt;"",IFERROR(DATEVALUE(TEXT(Assumptions!B59,"MM/DD/YYYY")),0)&gt;=DATE(2031,9,1),IFERROR(DATEVALUE(TEXT(Assumptions!B59,"MM/DD/YYYY")),0)&lt;=DATE(2031,9,30)),MIN(Assumptions!G59,MAX(0,((('Consolidated P&amp;L'!AY23+'Consolidated P&amp;L'!AZ23+'Consolidated P&amp;L'!BA23+'Consolidated P&amp;L'!BB23+'Consolidated P&amp;L'!BC23+'Consolidated P&amp;L'!BD23+'Consolidated P&amp;L'!BE23+'Consolidated P&amp;L'!BF23+'Consolidated P&amp;L'!BG23+'Consolidated P&amp;L'!BH23+'Consolidated P&amp;L'!BI23+'Consolidated P&amp;L'!BJ23)*12/12+Assumptions!H59)*Assumptions!B8)-BJ5)),0)</f>
        <v/>
      </c>
      <c r="BL15" s="157">
        <f>C15+D15+E15+F15+G15+H15+I15+J15+K15+L15+M15+N15</f>
        <v/>
      </c>
      <c r="BM15" s="157">
        <f>O15+P15+Q15+R15+S15+T15+U15+V15+W15+X15+Y15+Z15</f>
        <v/>
      </c>
      <c r="BN15" s="157">
        <f>AA15+AB15+AC15+AD15+AE15+AF15+AG15+AH15+AI15+AJ15+AK15+AL15</f>
        <v/>
      </c>
      <c r="BO15" s="157">
        <f>AM15+AN15+AO15+AP15+AQ15+AR15+AS15+AT15+AU15+AV15+AW15+AX15</f>
        <v/>
      </c>
      <c r="BP15" s="157">
        <f>AY15+AZ15+BA15+BB15+BC15+BD15+BE15+BF15+BG15+BH15+BI15+BJ15</f>
        <v/>
      </c>
    </row>
    <row r="16" ht="15" customHeight="1" s="104">
      <c r="A16" s="107" t="inlineStr">
        <is>
          <t xml:space="preserve">    Add-On 10 Debt Draw</t>
        </is>
      </c>
      <c r="C16" s="156">
        <f>IF(AND(Assumptions!B60&lt;&gt;"",IFERROR(DATEVALUE(TEXT(Assumptions!B60,"MM/DD/YYYY")),0)&gt;=DATE(2026,10,1),IFERROR(DATEVALUE(TEXT(Assumptions!B60,"MM/DD/YYYY")),0)&lt;=DATE(2026,10,31)),MIN(Assumptions!G60,MAX(0,((('Consolidated P&amp;L'!C23)*12/1+Assumptions!H60)*Assumptions!B8)-C5)),0)</f>
        <v/>
      </c>
      <c r="D16" s="156">
        <f>IF(AND(Assumptions!B60&lt;&gt;"",IFERROR(DATEVALUE(TEXT(Assumptions!B60,"MM/DD/YYYY")),0)&gt;=DATE(2026,11,1),IFERROR(DATEVALUE(TEXT(Assumptions!B60,"MM/DD/YYYY")),0)&lt;=DATE(2026,11,30)),MIN(Assumptions!G60,MAX(0,((('Consolidated P&amp;L'!C23+'Consolidated P&amp;L'!D23)*12/2+Assumptions!H60)*Assumptions!B8)-D5)),0)</f>
        <v/>
      </c>
      <c r="E16" s="156">
        <f>IF(AND(Assumptions!B60&lt;&gt;"",IFERROR(DATEVALUE(TEXT(Assumptions!B60,"MM/DD/YYYY")),0)&gt;=DATE(2026,12,1),IFERROR(DATEVALUE(TEXT(Assumptions!B60,"MM/DD/YYYY")),0)&lt;=DATE(2026,12,31)),MIN(Assumptions!G60,MAX(0,((('Consolidated P&amp;L'!C23+'Consolidated P&amp;L'!D23+'Consolidated P&amp;L'!E23)*12/3+Assumptions!H60)*Assumptions!B8)-E5)),0)</f>
        <v/>
      </c>
      <c r="F16" s="156">
        <f>IF(AND(Assumptions!B60&lt;&gt;"",IFERROR(DATEVALUE(TEXT(Assumptions!B60,"MM/DD/YYYY")),0)&gt;=DATE(2027,1,1),IFERROR(DATEVALUE(TEXT(Assumptions!B60,"MM/DD/YYYY")),0)&lt;=DATE(2027,1,31)),MIN(Assumptions!G60,MAX(0,((('Consolidated P&amp;L'!C23+'Consolidated P&amp;L'!D23+'Consolidated P&amp;L'!E23+'Consolidated P&amp;L'!F23)*12/4+Assumptions!H60)*Assumptions!B8)-F5)),0)</f>
        <v/>
      </c>
      <c r="G16" s="156">
        <f>IF(AND(Assumptions!B60&lt;&gt;"",IFERROR(DATEVALUE(TEXT(Assumptions!B60,"MM/DD/YYYY")),0)&gt;=DATE(2027,2,1),IFERROR(DATEVALUE(TEXT(Assumptions!B60,"MM/DD/YYYY")),0)&lt;=DATE(2027,2,28)),MIN(Assumptions!G60,MAX(0,((('Consolidated P&amp;L'!C23+'Consolidated P&amp;L'!D23+'Consolidated P&amp;L'!E23+'Consolidated P&amp;L'!F23+'Consolidated P&amp;L'!G23)*12/5+Assumptions!H60)*Assumptions!B8)-G5)),0)</f>
        <v/>
      </c>
      <c r="H16" s="156">
        <f>IF(AND(Assumptions!B60&lt;&gt;"",IFERROR(DATEVALUE(TEXT(Assumptions!B60,"MM/DD/YYYY")),0)&gt;=DATE(2027,3,1),IFERROR(DATEVALUE(TEXT(Assumptions!B60,"MM/DD/YYYY")),0)&lt;=DATE(2027,3,31)),MIN(Assumptions!G60,MAX(0,((('Consolidated P&amp;L'!C23+'Consolidated P&amp;L'!D23+'Consolidated P&amp;L'!E23+'Consolidated P&amp;L'!F23+'Consolidated P&amp;L'!G23+'Consolidated P&amp;L'!H23)*12/6+Assumptions!H60)*Assumptions!B8)-H5)),0)</f>
        <v/>
      </c>
      <c r="I16" s="156">
        <f>IF(AND(Assumptions!B60&lt;&gt;"",IFERROR(DATEVALUE(TEXT(Assumptions!B60,"MM/DD/YYYY")),0)&gt;=DATE(2027,4,1),IFERROR(DATEVALUE(TEXT(Assumptions!B60,"MM/DD/YYYY")),0)&lt;=DATE(2027,4,30)),MIN(Assumptions!G60,MAX(0,((('Consolidated P&amp;L'!C23+'Consolidated P&amp;L'!D23+'Consolidated P&amp;L'!E23+'Consolidated P&amp;L'!F23+'Consolidated P&amp;L'!G23+'Consolidated P&amp;L'!H23+'Consolidated P&amp;L'!I23)*12/7+Assumptions!H60)*Assumptions!B8)-I5)),0)</f>
        <v/>
      </c>
      <c r="J16" s="156">
        <f>IF(AND(Assumptions!B60&lt;&gt;"",IFERROR(DATEVALUE(TEXT(Assumptions!B60,"MM/DD/YYYY")),0)&gt;=DATE(2027,5,1),IFERROR(DATEVALUE(TEXT(Assumptions!B60,"MM/DD/YYYY")),0)&lt;=DATE(2027,5,31)),MIN(Assumptions!G60,MAX(0,((('Consolidated P&amp;L'!C23+'Consolidated P&amp;L'!D23+'Consolidated P&amp;L'!E23+'Consolidated P&amp;L'!F23+'Consolidated P&amp;L'!G23+'Consolidated P&amp;L'!H23+'Consolidated P&amp;L'!I23+'Consolidated P&amp;L'!J23)*12/8+Assumptions!H60)*Assumptions!B8)-J5)),0)</f>
        <v/>
      </c>
      <c r="K16" s="156">
        <f>IF(AND(Assumptions!B60&lt;&gt;"",IFERROR(DATEVALUE(TEXT(Assumptions!B60,"MM/DD/YYYY")),0)&gt;=DATE(2027,6,1),IFERROR(DATEVALUE(TEXT(Assumptions!B60,"MM/DD/YYYY")),0)&lt;=DATE(2027,6,30)),MIN(Assumptions!G60,MAX(0,((('Consolidated P&amp;L'!C23+'Consolidated P&amp;L'!D23+'Consolidated P&amp;L'!E23+'Consolidated P&amp;L'!F23+'Consolidated P&amp;L'!G23+'Consolidated P&amp;L'!H23+'Consolidated P&amp;L'!I23+'Consolidated P&amp;L'!J23+'Consolidated P&amp;L'!K23)*12/9+Assumptions!H60)*Assumptions!B8)-K5)),0)</f>
        <v/>
      </c>
      <c r="L16" s="156">
        <f>IF(AND(Assumptions!B60&lt;&gt;"",IFERROR(DATEVALUE(TEXT(Assumptions!B60,"MM/DD/YYYY")),0)&gt;=DATE(2027,7,1),IFERROR(DATEVALUE(TEXT(Assumptions!B60,"MM/DD/YYYY")),0)&lt;=DATE(2027,7,31)),MIN(Assumptions!G60,MAX(0,((('Consolidated P&amp;L'!C23+'Consolidated P&amp;L'!D23+'Consolidated P&amp;L'!E23+'Consolidated P&amp;L'!F23+'Consolidated P&amp;L'!G23+'Consolidated P&amp;L'!H23+'Consolidated P&amp;L'!I23+'Consolidated P&amp;L'!J23+'Consolidated P&amp;L'!K23+'Consolidated P&amp;L'!L23)*12/10+Assumptions!H60)*Assumptions!B8)-L5)),0)</f>
        <v/>
      </c>
      <c r="M16" s="156">
        <f>IF(AND(Assumptions!B60&lt;&gt;"",IFERROR(DATEVALUE(TEXT(Assumptions!B60,"MM/DD/YYYY")),0)&gt;=DATE(2027,8,1),IFERROR(DATEVALUE(TEXT(Assumptions!B60,"MM/DD/YYYY")),0)&lt;=DATE(2027,8,31)),MIN(Assumptions!G60,MAX(0,((('Consolidated P&amp;L'!C23+'Consolidated P&amp;L'!D23+'Consolidated P&amp;L'!E23+'Consolidated P&amp;L'!F23+'Consolidated P&amp;L'!G23+'Consolidated P&amp;L'!H23+'Consolidated P&amp;L'!I23+'Consolidated P&amp;L'!J23+'Consolidated P&amp;L'!K23+'Consolidated P&amp;L'!L23+'Consolidated P&amp;L'!M23)*12/11+Assumptions!H60)*Assumptions!B8)-M5)),0)</f>
        <v/>
      </c>
      <c r="N16" s="156">
        <f>IF(AND(Assumptions!B60&lt;&gt;"",IFERROR(DATEVALUE(TEXT(Assumptions!B60,"MM/DD/YYYY")),0)&gt;=DATE(2027,9,1),IFERROR(DATEVALUE(TEXT(Assumptions!B60,"MM/DD/YYYY")),0)&lt;=DATE(2027,9,30)),MIN(Assumptions!G60,MAX(0,((('Consolidated P&amp;L'!C23+'Consolidated P&amp;L'!D23+'Consolidated P&amp;L'!E23+'Consolidated P&amp;L'!F23+'Consolidated P&amp;L'!G23+'Consolidated P&amp;L'!H23+'Consolidated P&amp;L'!I23+'Consolidated P&amp;L'!J23+'Consolidated P&amp;L'!K23+'Consolidated P&amp;L'!L23+'Consolidated P&amp;L'!M23+'Consolidated P&amp;L'!N23)*12/12+Assumptions!H60)*Assumptions!B8)-N5)),0)</f>
        <v/>
      </c>
      <c r="O16" s="156">
        <f>IF(AND(Assumptions!B60&lt;&gt;"",IFERROR(DATEVALUE(TEXT(Assumptions!B60,"MM/DD/YYYY")),0)&gt;=DATE(2027,10,1),IFERROR(DATEVALUE(TEXT(Assumptions!B60,"MM/DD/YYYY")),0)&lt;=DATE(2027,10,31)),MIN(Assumptions!G60,MAX(0,((('Consolidated P&amp;L'!D23+'Consolidated P&amp;L'!E23+'Consolidated P&amp;L'!F23+'Consolidated P&amp;L'!G23+'Consolidated P&amp;L'!H23+'Consolidated P&amp;L'!I23+'Consolidated P&amp;L'!J23+'Consolidated P&amp;L'!K23+'Consolidated P&amp;L'!L23+'Consolidated P&amp;L'!M23+'Consolidated P&amp;L'!N23+'Consolidated P&amp;L'!O23)*12/12+Assumptions!H60)*Assumptions!B8)-O5)),0)</f>
        <v/>
      </c>
      <c r="P16" s="156">
        <f>IF(AND(Assumptions!B60&lt;&gt;"",IFERROR(DATEVALUE(TEXT(Assumptions!B60,"MM/DD/YYYY")),0)&gt;=DATE(2027,11,1),IFERROR(DATEVALUE(TEXT(Assumptions!B60,"MM/DD/YYYY")),0)&lt;=DATE(2027,11,30)),MIN(Assumptions!G60,MAX(0,((('Consolidated P&amp;L'!E23+'Consolidated P&amp;L'!F23+'Consolidated P&amp;L'!G23+'Consolidated P&amp;L'!H23+'Consolidated P&amp;L'!I23+'Consolidated P&amp;L'!J23+'Consolidated P&amp;L'!K23+'Consolidated P&amp;L'!L23+'Consolidated P&amp;L'!M23+'Consolidated P&amp;L'!N23+'Consolidated P&amp;L'!O23+'Consolidated P&amp;L'!P23)*12/12+Assumptions!H60)*Assumptions!B8)-P5)),0)</f>
        <v/>
      </c>
      <c r="Q16" s="156">
        <f>IF(AND(Assumptions!B60&lt;&gt;"",IFERROR(DATEVALUE(TEXT(Assumptions!B60,"MM/DD/YYYY")),0)&gt;=DATE(2027,12,1),IFERROR(DATEVALUE(TEXT(Assumptions!B60,"MM/DD/YYYY")),0)&lt;=DATE(2027,12,31)),MIN(Assumptions!G60,MAX(0,((('Consolidated P&amp;L'!F23+'Consolidated P&amp;L'!G23+'Consolidated P&amp;L'!H23+'Consolidated P&amp;L'!I23+'Consolidated P&amp;L'!J23+'Consolidated P&amp;L'!K23+'Consolidated P&amp;L'!L23+'Consolidated P&amp;L'!M23+'Consolidated P&amp;L'!N23+'Consolidated P&amp;L'!O23+'Consolidated P&amp;L'!P23+'Consolidated P&amp;L'!Q23)*12/12+Assumptions!H60)*Assumptions!B8)-Q5)),0)</f>
        <v/>
      </c>
      <c r="R16" s="156">
        <f>IF(AND(Assumptions!B60&lt;&gt;"",IFERROR(DATEVALUE(TEXT(Assumptions!B60,"MM/DD/YYYY")),0)&gt;=DATE(2028,1,1),IFERROR(DATEVALUE(TEXT(Assumptions!B60,"MM/DD/YYYY")),0)&lt;=DATE(2028,1,31)),MIN(Assumptions!G60,MAX(0,((('Consolidated P&amp;L'!G23+'Consolidated P&amp;L'!H23+'Consolidated P&amp;L'!I23+'Consolidated P&amp;L'!J23+'Consolidated P&amp;L'!K23+'Consolidated P&amp;L'!L23+'Consolidated P&amp;L'!M23+'Consolidated P&amp;L'!N23+'Consolidated P&amp;L'!O23+'Consolidated P&amp;L'!P23+'Consolidated P&amp;L'!Q23+'Consolidated P&amp;L'!R23)*12/12+Assumptions!H60)*Assumptions!B8)-R5)),0)</f>
        <v/>
      </c>
      <c r="S16" s="156">
        <f>IF(AND(Assumptions!B60&lt;&gt;"",IFERROR(DATEVALUE(TEXT(Assumptions!B60,"MM/DD/YYYY")),0)&gt;=DATE(2028,2,1),IFERROR(DATEVALUE(TEXT(Assumptions!B60,"MM/DD/YYYY")),0)&lt;=DATE(2028,2,29)),MIN(Assumptions!G60,MAX(0,((('Consolidated P&amp;L'!H23+'Consolidated P&amp;L'!I23+'Consolidated P&amp;L'!J23+'Consolidated P&amp;L'!K23+'Consolidated P&amp;L'!L23+'Consolidated P&amp;L'!M23+'Consolidated P&amp;L'!N23+'Consolidated P&amp;L'!O23+'Consolidated P&amp;L'!P23+'Consolidated P&amp;L'!Q23+'Consolidated P&amp;L'!R23+'Consolidated P&amp;L'!S23)*12/12+Assumptions!H60)*Assumptions!B8)-S5)),0)</f>
        <v/>
      </c>
      <c r="T16" s="156">
        <f>IF(AND(Assumptions!B60&lt;&gt;"",IFERROR(DATEVALUE(TEXT(Assumptions!B60,"MM/DD/YYYY")),0)&gt;=DATE(2028,3,1),IFERROR(DATEVALUE(TEXT(Assumptions!B60,"MM/DD/YYYY")),0)&lt;=DATE(2028,3,31)),MIN(Assumptions!G60,MAX(0,((('Consolidated P&amp;L'!I23+'Consolidated P&amp;L'!J23+'Consolidated P&amp;L'!K23+'Consolidated P&amp;L'!L23+'Consolidated P&amp;L'!M23+'Consolidated P&amp;L'!N23+'Consolidated P&amp;L'!O23+'Consolidated P&amp;L'!P23+'Consolidated P&amp;L'!Q23+'Consolidated P&amp;L'!R23+'Consolidated P&amp;L'!S23+'Consolidated P&amp;L'!T23)*12/12+Assumptions!H60)*Assumptions!B8)-T5)),0)</f>
        <v/>
      </c>
      <c r="U16" s="156">
        <f>IF(AND(Assumptions!B60&lt;&gt;"",IFERROR(DATEVALUE(TEXT(Assumptions!B60,"MM/DD/YYYY")),0)&gt;=DATE(2028,4,1),IFERROR(DATEVALUE(TEXT(Assumptions!B60,"MM/DD/YYYY")),0)&lt;=DATE(2028,4,30)),MIN(Assumptions!G60,MAX(0,((('Consolidated P&amp;L'!J23+'Consolidated P&amp;L'!K23+'Consolidated P&amp;L'!L23+'Consolidated P&amp;L'!M23+'Consolidated P&amp;L'!N23+'Consolidated P&amp;L'!O23+'Consolidated P&amp;L'!P23+'Consolidated P&amp;L'!Q23+'Consolidated P&amp;L'!R23+'Consolidated P&amp;L'!S23+'Consolidated P&amp;L'!T23+'Consolidated P&amp;L'!U23)*12/12+Assumptions!H60)*Assumptions!B8)-U5)),0)</f>
        <v/>
      </c>
      <c r="V16" s="156">
        <f>IF(AND(Assumptions!B60&lt;&gt;"",IFERROR(DATEVALUE(TEXT(Assumptions!B60,"MM/DD/YYYY")),0)&gt;=DATE(2028,5,1),IFERROR(DATEVALUE(TEXT(Assumptions!B60,"MM/DD/YYYY")),0)&lt;=DATE(2028,5,31)),MIN(Assumptions!G60,MAX(0,((('Consolidated P&amp;L'!K23+'Consolidated P&amp;L'!L23+'Consolidated P&amp;L'!M23+'Consolidated P&amp;L'!N23+'Consolidated P&amp;L'!O23+'Consolidated P&amp;L'!P23+'Consolidated P&amp;L'!Q23+'Consolidated P&amp;L'!R23+'Consolidated P&amp;L'!S23+'Consolidated P&amp;L'!T23+'Consolidated P&amp;L'!U23+'Consolidated P&amp;L'!V23)*12/12+Assumptions!H60)*Assumptions!B8)-V5)),0)</f>
        <v/>
      </c>
      <c r="W16" s="156">
        <f>IF(AND(Assumptions!B60&lt;&gt;"",IFERROR(DATEVALUE(TEXT(Assumptions!B60,"MM/DD/YYYY")),0)&gt;=DATE(2028,6,1),IFERROR(DATEVALUE(TEXT(Assumptions!B60,"MM/DD/YYYY")),0)&lt;=DATE(2028,6,30)),MIN(Assumptions!G60,MAX(0,((('Consolidated P&amp;L'!L23+'Consolidated P&amp;L'!M23+'Consolidated P&amp;L'!N23+'Consolidated P&amp;L'!O23+'Consolidated P&amp;L'!P23+'Consolidated P&amp;L'!Q23+'Consolidated P&amp;L'!R23+'Consolidated P&amp;L'!S23+'Consolidated P&amp;L'!T23+'Consolidated P&amp;L'!U23+'Consolidated P&amp;L'!V23+'Consolidated P&amp;L'!W23)*12/12+Assumptions!H60)*Assumptions!B8)-W5)),0)</f>
        <v/>
      </c>
      <c r="X16" s="156">
        <f>IF(AND(Assumptions!B60&lt;&gt;"",IFERROR(DATEVALUE(TEXT(Assumptions!B60,"MM/DD/YYYY")),0)&gt;=DATE(2028,7,1),IFERROR(DATEVALUE(TEXT(Assumptions!B60,"MM/DD/YYYY")),0)&lt;=DATE(2028,7,31)),MIN(Assumptions!G60,MAX(0,((('Consolidated P&amp;L'!M23+'Consolidated P&amp;L'!N23+'Consolidated P&amp;L'!O23+'Consolidated P&amp;L'!P23+'Consolidated P&amp;L'!Q23+'Consolidated P&amp;L'!R23+'Consolidated P&amp;L'!S23+'Consolidated P&amp;L'!T23+'Consolidated P&amp;L'!U23+'Consolidated P&amp;L'!V23+'Consolidated P&amp;L'!W23+'Consolidated P&amp;L'!X23)*12/12+Assumptions!H60)*Assumptions!B8)-X5)),0)</f>
        <v/>
      </c>
      <c r="Y16" s="156">
        <f>IF(AND(Assumptions!B60&lt;&gt;"",IFERROR(DATEVALUE(TEXT(Assumptions!B60,"MM/DD/YYYY")),0)&gt;=DATE(2028,8,1),IFERROR(DATEVALUE(TEXT(Assumptions!B60,"MM/DD/YYYY")),0)&lt;=DATE(2028,8,31)),MIN(Assumptions!G60,MAX(0,((('Consolidated P&amp;L'!N23+'Consolidated P&amp;L'!O23+'Consolidated P&amp;L'!P23+'Consolidated P&amp;L'!Q23+'Consolidated P&amp;L'!R23+'Consolidated P&amp;L'!S23+'Consolidated P&amp;L'!T23+'Consolidated P&amp;L'!U23+'Consolidated P&amp;L'!V23+'Consolidated P&amp;L'!W23+'Consolidated P&amp;L'!X23+'Consolidated P&amp;L'!Y23)*12/12+Assumptions!H60)*Assumptions!B8)-Y5)),0)</f>
        <v/>
      </c>
      <c r="Z16" s="156">
        <f>IF(AND(Assumptions!B60&lt;&gt;"",IFERROR(DATEVALUE(TEXT(Assumptions!B60,"MM/DD/YYYY")),0)&gt;=DATE(2028,9,1),IFERROR(DATEVALUE(TEXT(Assumptions!B60,"MM/DD/YYYY")),0)&lt;=DATE(2028,9,30)),MIN(Assumptions!G60,MAX(0,((('Consolidated P&amp;L'!O23+'Consolidated P&amp;L'!P23+'Consolidated P&amp;L'!Q23+'Consolidated P&amp;L'!R23+'Consolidated P&amp;L'!S23+'Consolidated P&amp;L'!T23+'Consolidated P&amp;L'!U23+'Consolidated P&amp;L'!V23+'Consolidated P&amp;L'!W23+'Consolidated P&amp;L'!X23+'Consolidated P&amp;L'!Y23+'Consolidated P&amp;L'!Z23)*12/12+Assumptions!H60)*Assumptions!B8)-Z5)),0)</f>
        <v/>
      </c>
      <c r="AA16" s="156">
        <f>IF(AND(Assumptions!B60&lt;&gt;"",IFERROR(DATEVALUE(TEXT(Assumptions!B60,"MM/DD/YYYY")),0)&gt;=DATE(2028,10,1),IFERROR(DATEVALUE(TEXT(Assumptions!B60,"MM/DD/YYYY")),0)&lt;=DATE(2028,10,31)),MIN(Assumptions!G60,MAX(0,((('Consolidated P&amp;L'!P23+'Consolidated P&amp;L'!Q23+'Consolidated P&amp;L'!R23+'Consolidated P&amp;L'!S23+'Consolidated P&amp;L'!T23+'Consolidated P&amp;L'!U23+'Consolidated P&amp;L'!V23+'Consolidated P&amp;L'!W23+'Consolidated P&amp;L'!X23+'Consolidated P&amp;L'!Y23+'Consolidated P&amp;L'!Z23+'Consolidated P&amp;L'!AA23)*12/12+Assumptions!H60)*Assumptions!B8)-AA5)),0)</f>
        <v/>
      </c>
      <c r="AB16" s="156">
        <f>IF(AND(Assumptions!B60&lt;&gt;"",IFERROR(DATEVALUE(TEXT(Assumptions!B60,"MM/DD/YYYY")),0)&gt;=DATE(2028,11,1),IFERROR(DATEVALUE(TEXT(Assumptions!B60,"MM/DD/YYYY")),0)&lt;=DATE(2028,11,30)),MIN(Assumptions!G60,MAX(0,((('Consolidated P&amp;L'!Q23+'Consolidated P&amp;L'!R23+'Consolidated P&amp;L'!S23+'Consolidated P&amp;L'!T23+'Consolidated P&amp;L'!U23+'Consolidated P&amp;L'!V23+'Consolidated P&amp;L'!W23+'Consolidated P&amp;L'!X23+'Consolidated P&amp;L'!Y23+'Consolidated P&amp;L'!Z23+'Consolidated P&amp;L'!AA23+'Consolidated P&amp;L'!AB23)*12/12+Assumptions!H60)*Assumptions!B8)-AB5)),0)</f>
        <v/>
      </c>
      <c r="AC16" s="156">
        <f>IF(AND(Assumptions!B60&lt;&gt;"",IFERROR(DATEVALUE(TEXT(Assumptions!B60,"MM/DD/YYYY")),0)&gt;=DATE(2028,12,1),IFERROR(DATEVALUE(TEXT(Assumptions!B60,"MM/DD/YYYY")),0)&lt;=DATE(2028,12,31)),MIN(Assumptions!G60,MAX(0,((('Consolidated P&amp;L'!R23+'Consolidated P&amp;L'!S23+'Consolidated P&amp;L'!T23+'Consolidated P&amp;L'!U23+'Consolidated P&amp;L'!V23+'Consolidated P&amp;L'!W23+'Consolidated P&amp;L'!X23+'Consolidated P&amp;L'!Y23+'Consolidated P&amp;L'!Z23+'Consolidated P&amp;L'!AA23+'Consolidated P&amp;L'!AB23+'Consolidated P&amp;L'!AC23)*12/12+Assumptions!H60)*Assumptions!B8)-AC5)),0)</f>
        <v/>
      </c>
      <c r="AD16" s="156">
        <f>IF(AND(Assumptions!B60&lt;&gt;"",IFERROR(DATEVALUE(TEXT(Assumptions!B60,"MM/DD/YYYY")),0)&gt;=DATE(2029,1,1),IFERROR(DATEVALUE(TEXT(Assumptions!B60,"MM/DD/YYYY")),0)&lt;=DATE(2029,1,31)),MIN(Assumptions!G60,MAX(0,((('Consolidated P&amp;L'!S23+'Consolidated P&amp;L'!T23+'Consolidated P&amp;L'!U23+'Consolidated P&amp;L'!V23+'Consolidated P&amp;L'!W23+'Consolidated P&amp;L'!X23+'Consolidated P&amp;L'!Y23+'Consolidated P&amp;L'!Z23+'Consolidated P&amp;L'!AA23+'Consolidated P&amp;L'!AB23+'Consolidated P&amp;L'!AC23+'Consolidated P&amp;L'!AD23)*12/12+Assumptions!H60)*Assumptions!B8)-AD5)),0)</f>
        <v/>
      </c>
      <c r="AE16" s="156">
        <f>IF(AND(Assumptions!B60&lt;&gt;"",IFERROR(DATEVALUE(TEXT(Assumptions!B60,"MM/DD/YYYY")),0)&gt;=DATE(2029,2,1),IFERROR(DATEVALUE(TEXT(Assumptions!B60,"MM/DD/YYYY")),0)&lt;=DATE(2029,2,28)),MIN(Assumptions!G60,MAX(0,((('Consolidated P&amp;L'!T23+'Consolidated P&amp;L'!U23+'Consolidated P&amp;L'!V23+'Consolidated P&amp;L'!W23+'Consolidated P&amp;L'!X23+'Consolidated P&amp;L'!Y23+'Consolidated P&amp;L'!Z23+'Consolidated P&amp;L'!AA23+'Consolidated P&amp;L'!AB23+'Consolidated P&amp;L'!AC23+'Consolidated P&amp;L'!AD23+'Consolidated P&amp;L'!AE23)*12/12+Assumptions!H60)*Assumptions!B8)-AE5)),0)</f>
        <v/>
      </c>
      <c r="AF16" s="156">
        <f>IF(AND(Assumptions!B60&lt;&gt;"",IFERROR(DATEVALUE(TEXT(Assumptions!B60,"MM/DD/YYYY")),0)&gt;=DATE(2029,3,1),IFERROR(DATEVALUE(TEXT(Assumptions!B60,"MM/DD/YYYY")),0)&lt;=DATE(2029,3,31)),MIN(Assumptions!G60,MAX(0,((('Consolidated P&amp;L'!U23+'Consolidated P&amp;L'!V23+'Consolidated P&amp;L'!W23+'Consolidated P&amp;L'!X23+'Consolidated P&amp;L'!Y23+'Consolidated P&amp;L'!Z23+'Consolidated P&amp;L'!AA23+'Consolidated P&amp;L'!AB23+'Consolidated P&amp;L'!AC23+'Consolidated P&amp;L'!AD23+'Consolidated P&amp;L'!AE23+'Consolidated P&amp;L'!AF23)*12/12+Assumptions!H60)*Assumptions!B8)-AF5)),0)</f>
        <v/>
      </c>
      <c r="AG16" s="156">
        <f>IF(AND(Assumptions!B60&lt;&gt;"",IFERROR(DATEVALUE(TEXT(Assumptions!B60,"MM/DD/YYYY")),0)&gt;=DATE(2029,4,1),IFERROR(DATEVALUE(TEXT(Assumptions!B60,"MM/DD/YYYY")),0)&lt;=DATE(2029,4,30)),MIN(Assumptions!G60,MAX(0,((('Consolidated P&amp;L'!V23+'Consolidated P&amp;L'!W23+'Consolidated P&amp;L'!X23+'Consolidated P&amp;L'!Y23+'Consolidated P&amp;L'!Z23+'Consolidated P&amp;L'!AA23+'Consolidated P&amp;L'!AB23+'Consolidated P&amp;L'!AC23+'Consolidated P&amp;L'!AD23+'Consolidated P&amp;L'!AE23+'Consolidated P&amp;L'!AF23+'Consolidated P&amp;L'!AG23)*12/12+Assumptions!H60)*Assumptions!B8)-AG5)),0)</f>
        <v/>
      </c>
      <c r="AH16" s="156">
        <f>IF(AND(Assumptions!B60&lt;&gt;"",IFERROR(DATEVALUE(TEXT(Assumptions!B60,"MM/DD/YYYY")),0)&gt;=DATE(2029,5,1),IFERROR(DATEVALUE(TEXT(Assumptions!B60,"MM/DD/YYYY")),0)&lt;=DATE(2029,5,31)),MIN(Assumptions!G60,MAX(0,((('Consolidated P&amp;L'!W23+'Consolidated P&amp;L'!X23+'Consolidated P&amp;L'!Y23+'Consolidated P&amp;L'!Z23+'Consolidated P&amp;L'!AA23+'Consolidated P&amp;L'!AB23+'Consolidated P&amp;L'!AC23+'Consolidated P&amp;L'!AD23+'Consolidated P&amp;L'!AE23+'Consolidated P&amp;L'!AF23+'Consolidated P&amp;L'!AG23+'Consolidated P&amp;L'!AH23)*12/12+Assumptions!H60)*Assumptions!B8)-AH5)),0)</f>
        <v/>
      </c>
      <c r="AI16" s="156">
        <f>IF(AND(Assumptions!B60&lt;&gt;"",IFERROR(DATEVALUE(TEXT(Assumptions!B60,"MM/DD/YYYY")),0)&gt;=DATE(2029,6,1),IFERROR(DATEVALUE(TEXT(Assumptions!B60,"MM/DD/YYYY")),0)&lt;=DATE(2029,6,30)),MIN(Assumptions!G60,MAX(0,((('Consolidated P&amp;L'!X23+'Consolidated P&amp;L'!Y23+'Consolidated P&amp;L'!Z23+'Consolidated P&amp;L'!AA23+'Consolidated P&amp;L'!AB23+'Consolidated P&amp;L'!AC23+'Consolidated P&amp;L'!AD23+'Consolidated P&amp;L'!AE23+'Consolidated P&amp;L'!AF23+'Consolidated P&amp;L'!AG23+'Consolidated P&amp;L'!AH23+'Consolidated P&amp;L'!AI23)*12/12+Assumptions!H60)*Assumptions!B8)-AI5)),0)</f>
        <v/>
      </c>
      <c r="AJ16" s="156">
        <f>IF(AND(Assumptions!B60&lt;&gt;"",IFERROR(DATEVALUE(TEXT(Assumptions!B60,"MM/DD/YYYY")),0)&gt;=DATE(2029,7,1),IFERROR(DATEVALUE(TEXT(Assumptions!B60,"MM/DD/YYYY")),0)&lt;=DATE(2029,7,31)),MIN(Assumptions!G60,MAX(0,((('Consolidated P&amp;L'!Y23+'Consolidated P&amp;L'!Z23+'Consolidated P&amp;L'!AA23+'Consolidated P&amp;L'!AB23+'Consolidated P&amp;L'!AC23+'Consolidated P&amp;L'!AD23+'Consolidated P&amp;L'!AE23+'Consolidated P&amp;L'!AF23+'Consolidated P&amp;L'!AG23+'Consolidated P&amp;L'!AH23+'Consolidated P&amp;L'!AI23+'Consolidated P&amp;L'!AJ23)*12/12+Assumptions!H60)*Assumptions!B8)-AJ5)),0)</f>
        <v/>
      </c>
      <c r="AK16" s="156">
        <f>IF(AND(Assumptions!B60&lt;&gt;"",IFERROR(DATEVALUE(TEXT(Assumptions!B60,"MM/DD/YYYY")),0)&gt;=DATE(2029,8,1),IFERROR(DATEVALUE(TEXT(Assumptions!B60,"MM/DD/YYYY")),0)&lt;=DATE(2029,8,31)),MIN(Assumptions!G60,MAX(0,((('Consolidated P&amp;L'!Z23+'Consolidated P&amp;L'!AA23+'Consolidated P&amp;L'!AB23+'Consolidated P&amp;L'!AC23+'Consolidated P&amp;L'!AD23+'Consolidated P&amp;L'!AE23+'Consolidated P&amp;L'!AF23+'Consolidated P&amp;L'!AG23+'Consolidated P&amp;L'!AH23+'Consolidated P&amp;L'!AI23+'Consolidated P&amp;L'!AJ23+'Consolidated P&amp;L'!AK23)*12/12+Assumptions!H60)*Assumptions!B8)-AK5)),0)</f>
        <v/>
      </c>
      <c r="AL16" s="156">
        <f>IF(AND(Assumptions!B60&lt;&gt;"",IFERROR(DATEVALUE(TEXT(Assumptions!B60,"MM/DD/YYYY")),0)&gt;=DATE(2029,9,1),IFERROR(DATEVALUE(TEXT(Assumptions!B60,"MM/DD/YYYY")),0)&lt;=DATE(2029,9,30)),MIN(Assumptions!G60,MAX(0,((('Consolidated P&amp;L'!AA23+'Consolidated P&amp;L'!AB23+'Consolidated P&amp;L'!AC23+'Consolidated P&amp;L'!AD23+'Consolidated P&amp;L'!AE23+'Consolidated P&amp;L'!AF23+'Consolidated P&amp;L'!AG23+'Consolidated P&amp;L'!AH23+'Consolidated P&amp;L'!AI23+'Consolidated P&amp;L'!AJ23+'Consolidated P&amp;L'!AK23+'Consolidated P&amp;L'!AL23)*12/12+Assumptions!H60)*Assumptions!B8)-AL5)),0)</f>
        <v/>
      </c>
      <c r="AM16" s="156">
        <f>IF(AND(Assumptions!B60&lt;&gt;"",IFERROR(DATEVALUE(TEXT(Assumptions!B60,"MM/DD/YYYY")),0)&gt;=DATE(2029,10,1),IFERROR(DATEVALUE(TEXT(Assumptions!B60,"MM/DD/YYYY")),0)&lt;=DATE(2029,10,31)),MIN(Assumptions!G60,MAX(0,((('Consolidated P&amp;L'!AB23+'Consolidated P&amp;L'!AC23+'Consolidated P&amp;L'!AD23+'Consolidated P&amp;L'!AE23+'Consolidated P&amp;L'!AF23+'Consolidated P&amp;L'!AG23+'Consolidated P&amp;L'!AH23+'Consolidated P&amp;L'!AI23+'Consolidated P&amp;L'!AJ23+'Consolidated P&amp;L'!AK23+'Consolidated P&amp;L'!AL23+'Consolidated P&amp;L'!AM23)*12/12+Assumptions!H60)*Assumptions!B8)-AM5)),0)</f>
        <v/>
      </c>
      <c r="AN16" s="156">
        <f>IF(AND(Assumptions!B60&lt;&gt;"",IFERROR(DATEVALUE(TEXT(Assumptions!B60,"MM/DD/YYYY")),0)&gt;=DATE(2029,11,1),IFERROR(DATEVALUE(TEXT(Assumptions!B60,"MM/DD/YYYY")),0)&lt;=DATE(2029,11,30)),MIN(Assumptions!G60,MAX(0,((('Consolidated P&amp;L'!AC23+'Consolidated P&amp;L'!AD23+'Consolidated P&amp;L'!AE23+'Consolidated P&amp;L'!AF23+'Consolidated P&amp;L'!AG23+'Consolidated P&amp;L'!AH23+'Consolidated P&amp;L'!AI23+'Consolidated P&amp;L'!AJ23+'Consolidated P&amp;L'!AK23+'Consolidated P&amp;L'!AL23+'Consolidated P&amp;L'!AM23+'Consolidated P&amp;L'!AN23)*12/12+Assumptions!H60)*Assumptions!B8)-AN5)),0)</f>
        <v/>
      </c>
      <c r="AO16" s="156">
        <f>IF(AND(Assumptions!B60&lt;&gt;"",IFERROR(DATEVALUE(TEXT(Assumptions!B60,"MM/DD/YYYY")),0)&gt;=DATE(2029,12,1),IFERROR(DATEVALUE(TEXT(Assumptions!B60,"MM/DD/YYYY")),0)&lt;=DATE(2029,12,31)),MIN(Assumptions!G60,MAX(0,((('Consolidated P&amp;L'!AD23+'Consolidated P&amp;L'!AE23+'Consolidated P&amp;L'!AF23+'Consolidated P&amp;L'!AG23+'Consolidated P&amp;L'!AH23+'Consolidated P&amp;L'!AI23+'Consolidated P&amp;L'!AJ23+'Consolidated P&amp;L'!AK23+'Consolidated P&amp;L'!AL23+'Consolidated P&amp;L'!AM23+'Consolidated P&amp;L'!AN23+'Consolidated P&amp;L'!AO23)*12/12+Assumptions!H60)*Assumptions!B8)-AO5)),0)</f>
        <v/>
      </c>
      <c r="AP16" s="156">
        <f>IF(AND(Assumptions!B60&lt;&gt;"",IFERROR(DATEVALUE(TEXT(Assumptions!B60,"MM/DD/YYYY")),0)&gt;=DATE(2030,1,1),IFERROR(DATEVALUE(TEXT(Assumptions!B60,"MM/DD/YYYY")),0)&lt;=DATE(2030,1,31)),MIN(Assumptions!G60,MAX(0,((('Consolidated P&amp;L'!AE23+'Consolidated P&amp;L'!AF23+'Consolidated P&amp;L'!AG23+'Consolidated P&amp;L'!AH23+'Consolidated P&amp;L'!AI23+'Consolidated P&amp;L'!AJ23+'Consolidated P&amp;L'!AK23+'Consolidated P&amp;L'!AL23+'Consolidated P&amp;L'!AM23+'Consolidated P&amp;L'!AN23+'Consolidated P&amp;L'!AO23+'Consolidated P&amp;L'!AP23)*12/12+Assumptions!H60)*Assumptions!B8)-AP5)),0)</f>
        <v/>
      </c>
      <c r="AQ16" s="156">
        <f>IF(AND(Assumptions!B60&lt;&gt;"",IFERROR(DATEVALUE(TEXT(Assumptions!B60,"MM/DD/YYYY")),0)&gt;=DATE(2030,2,1),IFERROR(DATEVALUE(TEXT(Assumptions!B60,"MM/DD/YYYY")),0)&lt;=DATE(2030,2,28)),MIN(Assumptions!G60,MAX(0,((('Consolidated P&amp;L'!AF23+'Consolidated P&amp;L'!AG23+'Consolidated P&amp;L'!AH23+'Consolidated P&amp;L'!AI23+'Consolidated P&amp;L'!AJ23+'Consolidated P&amp;L'!AK23+'Consolidated P&amp;L'!AL23+'Consolidated P&amp;L'!AM23+'Consolidated P&amp;L'!AN23+'Consolidated P&amp;L'!AO23+'Consolidated P&amp;L'!AP23+'Consolidated P&amp;L'!AQ23)*12/12+Assumptions!H60)*Assumptions!B8)-AQ5)),0)</f>
        <v/>
      </c>
      <c r="AR16" s="156">
        <f>IF(AND(Assumptions!B60&lt;&gt;"",IFERROR(DATEVALUE(TEXT(Assumptions!B60,"MM/DD/YYYY")),0)&gt;=DATE(2030,3,1),IFERROR(DATEVALUE(TEXT(Assumptions!B60,"MM/DD/YYYY")),0)&lt;=DATE(2030,3,31)),MIN(Assumptions!G60,MAX(0,((('Consolidated P&amp;L'!AG23+'Consolidated P&amp;L'!AH23+'Consolidated P&amp;L'!AI23+'Consolidated P&amp;L'!AJ23+'Consolidated P&amp;L'!AK23+'Consolidated P&amp;L'!AL23+'Consolidated P&amp;L'!AM23+'Consolidated P&amp;L'!AN23+'Consolidated P&amp;L'!AO23+'Consolidated P&amp;L'!AP23+'Consolidated P&amp;L'!AQ23+'Consolidated P&amp;L'!AR23)*12/12+Assumptions!H60)*Assumptions!B8)-AR5)),0)</f>
        <v/>
      </c>
      <c r="AS16" s="156">
        <f>IF(AND(Assumptions!B60&lt;&gt;"",IFERROR(DATEVALUE(TEXT(Assumptions!B60,"MM/DD/YYYY")),0)&gt;=DATE(2030,4,1),IFERROR(DATEVALUE(TEXT(Assumptions!B60,"MM/DD/YYYY")),0)&lt;=DATE(2030,4,30)),MIN(Assumptions!G60,MAX(0,((('Consolidated P&amp;L'!AH23+'Consolidated P&amp;L'!AI23+'Consolidated P&amp;L'!AJ23+'Consolidated P&amp;L'!AK23+'Consolidated P&amp;L'!AL23+'Consolidated P&amp;L'!AM23+'Consolidated P&amp;L'!AN23+'Consolidated P&amp;L'!AO23+'Consolidated P&amp;L'!AP23+'Consolidated P&amp;L'!AQ23+'Consolidated P&amp;L'!AR23+'Consolidated P&amp;L'!AS23)*12/12+Assumptions!H60)*Assumptions!B8)-AS5)),0)</f>
        <v/>
      </c>
      <c r="AT16" s="156">
        <f>IF(AND(Assumptions!B60&lt;&gt;"",IFERROR(DATEVALUE(TEXT(Assumptions!B60,"MM/DD/YYYY")),0)&gt;=DATE(2030,5,1),IFERROR(DATEVALUE(TEXT(Assumptions!B60,"MM/DD/YYYY")),0)&lt;=DATE(2030,5,31)),MIN(Assumptions!G60,MAX(0,((('Consolidated P&amp;L'!AI23+'Consolidated P&amp;L'!AJ23+'Consolidated P&amp;L'!AK23+'Consolidated P&amp;L'!AL23+'Consolidated P&amp;L'!AM23+'Consolidated P&amp;L'!AN23+'Consolidated P&amp;L'!AO23+'Consolidated P&amp;L'!AP23+'Consolidated P&amp;L'!AQ23+'Consolidated P&amp;L'!AR23+'Consolidated P&amp;L'!AS23+'Consolidated P&amp;L'!AT23)*12/12+Assumptions!H60)*Assumptions!B8)-AT5)),0)</f>
        <v/>
      </c>
      <c r="AU16" s="156">
        <f>IF(AND(Assumptions!B60&lt;&gt;"",IFERROR(DATEVALUE(TEXT(Assumptions!B60,"MM/DD/YYYY")),0)&gt;=DATE(2030,6,1),IFERROR(DATEVALUE(TEXT(Assumptions!B60,"MM/DD/YYYY")),0)&lt;=DATE(2030,6,30)),MIN(Assumptions!G60,MAX(0,((('Consolidated P&amp;L'!AJ23+'Consolidated P&amp;L'!AK23+'Consolidated P&amp;L'!AL23+'Consolidated P&amp;L'!AM23+'Consolidated P&amp;L'!AN23+'Consolidated P&amp;L'!AO23+'Consolidated P&amp;L'!AP23+'Consolidated P&amp;L'!AQ23+'Consolidated P&amp;L'!AR23+'Consolidated P&amp;L'!AS23+'Consolidated P&amp;L'!AT23+'Consolidated P&amp;L'!AU23)*12/12+Assumptions!H60)*Assumptions!B8)-AU5)),0)</f>
        <v/>
      </c>
      <c r="AV16" s="156">
        <f>IF(AND(Assumptions!B60&lt;&gt;"",IFERROR(DATEVALUE(TEXT(Assumptions!B60,"MM/DD/YYYY")),0)&gt;=DATE(2030,7,1),IFERROR(DATEVALUE(TEXT(Assumptions!B60,"MM/DD/YYYY")),0)&lt;=DATE(2030,7,31)),MIN(Assumptions!G60,MAX(0,((('Consolidated P&amp;L'!AK23+'Consolidated P&amp;L'!AL23+'Consolidated P&amp;L'!AM23+'Consolidated P&amp;L'!AN23+'Consolidated P&amp;L'!AO23+'Consolidated P&amp;L'!AP23+'Consolidated P&amp;L'!AQ23+'Consolidated P&amp;L'!AR23+'Consolidated P&amp;L'!AS23+'Consolidated P&amp;L'!AT23+'Consolidated P&amp;L'!AU23+'Consolidated P&amp;L'!AV23)*12/12+Assumptions!H60)*Assumptions!B8)-AV5)),0)</f>
        <v/>
      </c>
      <c r="AW16" s="156">
        <f>IF(AND(Assumptions!B60&lt;&gt;"",IFERROR(DATEVALUE(TEXT(Assumptions!B60,"MM/DD/YYYY")),0)&gt;=DATE(2030,8,1),IFERROR(DATEVALUE(TEXT(Assumptions!B60,"MM/DD/YYYY")),0)&lt;=DATE(2030,8,31)),MIN(Assumptions!G60,MAX(0,((('Consolidated P&amp;L'!AL23+'Consolidated P&amp;L'!AM23+'Consolidated P&amp;L'!AN23+'Consolidated P&amp;L'!AO23+'Consolidated P&amp;L'!AP23+'Consolidated P&amp;L'!AQ23+'Consolidated P&amp;L'!AR23+'Consolidated P&amp;L'!AS23+'Consolidated P&amp;L'!AT23+'Consolidated P&amp;L'!AU23+'Consolidated P&amp;L'!AV23+'Consolidated P&amp;L'!AW23)*12/12+Assumptions!H60)*Assumptions!B8)-AW5)),0)</f>
        <v/>
      </c>
      <c r="AX16" s="156">
        <f>IF(AND(Assumptions!B60&lt;&gt;"",IFERROR(DATEVALUE(TEXT(Assumptions!B60,"MM/DD/YYYY")),0)&gt;=DATE(2030,9,1),IFERROR(DATEVALUE(TEXT(Assumptions!B60,"MM/DD/YYYY")),0)&lt;=DATE(2030,9,30)),MIN(Assumptions!G60,MAX(0,((('Consolidated P&amp;L'!AM23+'Consolidated P&amp;L'!AN23+'Consolidated P&amp;L'!AO23+'Consolidated P&amp;L'!AP23+'Consolidated P&amp;L'!AQ23+'Consolidated P&amp;L'!AR23+'Consolidated P&amp;L'!AS23+'Consolidated P&amp;L'!AT23+'Consolidated P&amp;L'!AU23+'Consolidated P&amp;L'!AV23+'Consolidated P&amp;L'!AW23+'Consolidated P&amp;L'!AX23)*12/12+Assumptions!H60)*Assumptions!B8)-AX5)),0)</f>
        <v/>
      </c>
      <c r="AY16" s="156">
        <f>IF(AND(Assumptions!B60&lt;&gt;"",IFERROR(DATEVALUE(TEXT(Assumptions!B60,"MM/DD/YYYY")),0)&gt;=DATE(2030,10,1),IFERROR(DATEVALUE(TEXT(Assumptions!B60,"MM/DD/YYYY")),0)&lt;=DATE(2030,10,31)),MIN(Assumptions!G60,MAX(0,((('Consolidated P&amp;L'!AN23+'Consolidated P&amp;L'!AO23+'Consolidated P&amp;L'!AP23+'Consolidated P&amp;L'!AQ23+'Consolidated P&amp;L'!AR23+'Consolidated P&amp;L'!AS23+'Consolidated P&amp;L'!AT23+'Consolidated P&amp;L'!AU23+'Consolidated P&amp;L'!AV23+'Consolidated P&amp;L'!AW23+'Consolidated P&amp;L'!AX23+'Consolidated P&amp;L'!AY23)*12/12+Assumptions!H60)*Assumptions!B8)-AY5)),0)</f>
        <v/>
      </c>
      <c r="AZ16" s="156">
        <f>IF(AND(Assumptions!B60&lt;&gt;"",IFERROR(DATEVALUE(TEXT(Assumptions!B60,"MM/DD/YYYY")),0)&gt;=DATE(2030,11,1),IFERROR(DATEVALUE(TEXT(Assumptions!B60,"MM/DD/YYYY")),0)&lt;=DATE(2030,11,30)),MIN(Assumptions!G60,MAX(0,((('Consolidated P&amp;L'!AO23+'Consolidated P&amp;L'!AP23+'Consolidated P&amp;L'!AQ23+'Consolidated P&amp;L'!AR23+'Consolidated P&amp;L'!AS23+'Consolidated P&amp;L'!AT23+'Consolidated P&amp;L'!AU23+'Consolidated P&amp;L'!AV23+'Consolidated P&amp;L'!AW23+'Consolidated P&amp;L'!AX23+'Consolidated P&amp;L'!AY23+'Consolidated P&amp;L'!AZ23)*12/12+Assumptions!H60)*Assumptions!B8)-AZ5)),0)</f>
        <v/>
      </c>
      <c r="BA16" s="156">
        <f>IF(AND(Assumptions!B60&lt;&gt;"",IFERROR(DATEVALUE(TEXT(Assumptions!B60,"MM/DD/YYYY")),0)&gt;=DATE(2030,12,1),IFERROR(DATEVALUE(TEXT(Assumptions!B60,"MM/DD/YYYY")),0)&lt;=DATE(2030,12,31)),MIN(Assumptions!G60,MAX(0,((('Consolidated P&amp;L'!AP23+'Consolidated P&amp;L'!AQ23+'Consolidated P&amp;L'!AR23+'Consolidated P&amp;L'!AS23+'Consolidated P&amp;L'!AT23+'Consolidated P&amp;L'!AU23+'Consolidated P&amp;L'!AV23+'Consolidated P&amp;L'!AW23+'Consolidated P&amp;L'!AX23+'Consolidated P&amp;L'!AY23+'Consolidated P&amp;L'!AZ23+'Consolidated P&amp;L'!BA23)*12/12+Assumptions!H60)*Assumptions!B8)-BA5)),0)</f>
        <v/>
      </c>
      <c r="BB16" s="156">
        <f>IF(AND(Assumptions!B60&lt;&gt;"",IFERROR(DATEVALUE(TEXT(Assumptions!B60,"MM/DD/YYYY")),0)&gt;=DATE(2031,1,1),IFERROR(DATEVALUE(TEXT(Assumptions!B60,"MM/DD/YYYY")),0)&lt;=DATE(2031,1,31)),MIN(Assumptions!G60,MAX(0,((('Consolidated P&amp;L'!AQ23+'Consolidated P&amp;L'!AR23+'Consolidated P&amp;L'!AS23+'Consolidated P&amp;L'!AT23+'Consolidated P&amp;L'!AU23+'Consolidated P&amp;L'!AV23+'Consolidated P&amp;L'!AW23+'Consolidated P&amp;L'!AX23+'Consolidated P&amp;L'!AY23+'Consolidated P&amp;L'!AZ23+'Consolidated P&amp;L'!BA23+'Consolidated P&amp;L'!BB23)*12/12+Assumptions!H60)*Assumptions!B8)-BB5)),0)</f>
        <v/>
      </c>
      <c r="BC16" s="156">
        <f>IF(AND(Assumptions!B60&lt;&gt;"",IFERROR(DATEVALUE(TEXT(Assumptions!B60,"MM/DD/YYYY")),0)&gt;=DATE(2031,2,1),IFERROR(DATEVALUE(TEXT(Assumptions!B60,"MM/DD/YYYY")),0)&lt;=DATE(2031,2,28)),MIN(Assumptions!G60,MAX(0,((('Consolidated P&amp;L'!AR23+'Consolidated P&amp;L'!AS23+'Consolidated P&amp;L'!AT23+'Consolidated P&amp;L'!AU23+'Consolidated P&amp;L'!AV23+'Consolidated P&amp;L'!AW23+'Consolidated P&amp;L'!AX23+'Consolidated P&amp;L'!AY23+'Consolidated P&amp;L'!AZ23+'Consolidated P&amp;L'!BA23+'Consolidated P&amp;L'!BB23+'Consolidated P&amp;L'!BC23)*12/12+Assumptions!H60)*Assumptions!B8)-BC5)),0)</f>
        <v/>
      </c>
      <c r="BD16" s="156">
        <f>IF(AND(Assumptions!B60&lt;&gt;"",IFERROR(DATEVALUE(TEXT(Assumptions!B60,"MM/DD/YYYY")),0)&gt;=DATE(2031,3,1),IFERROR(DATEVALUE(TEXT(Assumptions!B60,"MM/DD/YYYY")),0)&lt;=DATE(2031,3,31)),MIN(Assumptions!G60,MAX(0,((('Consolidated P&amp;L'!AS23+'Consolidated P&amp;L'!AT23+'Consolidated P&amp;L'!AU23+'Consolidated P&amp;L'!AV23+'Consolidated P&amp;L'!AW23+'Consolidated P&amp;L'!AX23+'Consolidated P&amp;L'!AY23+'Consolidated P&amp;L'!AZ23+'Consolidated P&amp;L'!BA23+'Consolidated P&amp;L'!BB23+'Consolidated P&amp;L'!BC23+'Consolidated P&amp;L'!BD23)*12/12+Assumptions!H60)*Assumptions!B8)-BD5)),0)</f>
        <v/>
      </c>
      <c r="BE16" s="156">
        <f>IF(AND(Assumptions!B60&lt;&gt;"",IFERROR(DATEVALUE(TEXT(Assumptions!B60,"MM/DD/YYYY")),0)&gt;=DATE(2031,4,1),IFERROR(DATEVALUE(TEXT(Assumptions!B60,"MM/DD/YYYY")),0)&lt;=DATE(2031,4,30)),MIN(Assumptions!G60,MAX(0,((('Consolidated P&amp;L'!AT23+'Consolidated P&amp;L'!AU23+'Consolidated P&amp;L'!AV23+'Consolidated P&amp;L'!AW23+'Consolidated P&amp;L'!AX23+'Consolidated P&amp;L'!AY23+'Consolidated P&amp;L'!AZ23+'Consolidated P&amp;L'!BA23+'Consolidated P&amp;L'!BB23+'Consolidated P&amp;L'!BC23+'Consolidated P&amp;L'!BD23+'Consolidated P&amp;L'!BE23)*12/12+Assumptions!H60)*Assumptions!B8)-BE5)),0)</f>
        <v/>
      </c>
      <c r="BF16" s="156">
        <f>IF(AND(Assumptions!B60&lt;&gt;"",IFERROR(DATEVALUE(TEXT(Assumptions!B60,"MM/DD/YYYY")),0)&gt;=DATE(2031,5,1),IFERROR(DATEVALUE(TEXT(Assumptions!B60,"MM/DD/YYYY")),0)&lt;=DATE(2031,5,31)),MIN(Assumptions!G60,MAX(0,((('Consolidated P&amp;L'!AU23+'Consolidated P&amp;L'!AV23+'Consolidated P&amp;L'!AW23+'Consolidated P&amp;L'!AX23+'Consolidated P&amp;L'!AY23+'Consolidated P&amp;L'!AZ23+'Consolidated P&amp;L'!BA23+'Consolidated P&amp;L'!BB23+'Consolidated P&amp;L'!BC23+'Consolidated P&amp;L'!BD23+'Consolidated P&amp;L'!BE23+'Consolidated P&amp;L'!BF23)*12/12+Assumptions!H60)*Assumptions!B8)-BF5)),0)</f>
        <v/>
      </c>
      <c r="BG16" s="156">
        <f>IF(AND(Assumptions!B60&lt;&gt;"",IFERROR(DATEVALUE(TEXT(Assumptions!B60,"MM/DD/YYYY")),0)&gt;=DATE(2031,6,1),IFERROR(DATEVALUE(TEXT(Assumptions!B60,"MM/DD/YYYY")),0)&lt;=DATE(2031,6,30)),MIN(Assumptions!G60,MAX(0,((('Consolidated P&amp;L'!AV23+'Consolidated P&amp;L'!AW23+'Consolidated P&amp;L'!AX23+'Consolidated P&amp;L'!AY23+'Consolidated P&amp;L'!AZ23+'Consolidated P&amp;L'!BA23+'Consolidated P&amp;L'!BB23+'Consolidated P&amp;L'!BC23+'Consolidated P&amp;L'!BD23+'Consolidated P&amp;L'!BE23+'Consolidated P&amp;L'!BF23+'Consolidated P&amp;L'!BG23)*12/12+Assumptions!H60)*Assumptions!B8)-BG5)),0)</f>
        <v/>
      </c>
      <c r="BH16" s="156">
        <f>IF(AND(Assumptions!B60&lt;&gt;"",IFERROR(DATEVALUE(TEXT(Assumptions!B60,"MM/DD/YYYY")),0)&gt;=DATE(2031,7,1),IFERROR(DATEVALUE(TEXT(Assumptions!B60,"MM/DD/YYYY")),0)&lt;=DATE(2031,7,31)),MIN(Assumptions!G60,MAX(0,((('Consolidated P&amp;L'!AW23+'Consolidated P&amp;L'!AX23+'Consolidated P&amp;L'!AY23+'Consolidated P&amp;L'!AZ23+'Consolidated P&amp;L'!BA23+'Consolidated P&amp;L'!BB23+'Consolidated P&amp;L'!BC23+'Consolidated P&amp;L'!BD23+'Consolidated P&amp;L'!BE23+'Consolidated P&amp;L'!BF23+'Consolidated P&amp;L'!BG23+'Consolidated P&amp;L'!BH23)*12/12+Assumptions!H60)*Assumptions!B8)-BH5)),0)</f>
        <v/>
      </c>
      <c r="BI16" s="156">
        <f>IF(AND(Assumptions!B60&lt;&gt;"",IFERROR(DATEVALUE(TEXT(Assumptions!B60,"MM/DD/YYYY")),0)&gt;=DATE(2031,8,1),IFERROR(DATEVALUE(TEXT(Assumptions!B60,"MM/DD/YYYY")),0)&lt;=DATE(2031,8,31)),MIN(Assumptions!G60,MAX(0,((('Consolidated P&amp;L'!AX23+'Consolidated P&amp;L'!AY23+'Consolidated P&amp;L'!AZ23+'Consolidated P&amp;L'!BA23+'Consolidated P&amp;L'!BB23+'Consolidated P&amp;L'!BC23+'Consolidated P&amp;L'!BD23+'Consolidated P&amp;L'!BE23+'Consolidated P&amp;L'!BF23+'Consolidated P&amp;L'!BG23+'Consolidated P&amp;L'!BH23+'Consolidated P&amp;L'!BI23)*12/12+Assumptions!H60)*Assumptions!B8)-BI5)),0)</f>
        <v/>
      </c>
      <c r="BJ16" s="156">
        <f>IF(AND(Assumptions!B60&lt;&gt;"",IFERROR(DATEVALUE(TEXT(Assumptions!B60,"MM/DD/YYYY")),0)&gt;=DATE(2031,9,1),IFERROR(DATEVALUE(TEXT(Assumptions!B60,"MM/DD/YYYY")),0)&lt;=DATE(2031,9,30)),MIN(Assumptions!G60,MAX(0,((('Consolidated P&amp;L'!AY23+'Consolidated P&amp;L'!AZ23+'Consolidated P&amp;L'!BA23+'Consolidated P&amp;L'!BB23+'Consolidated P&amp;L'!BC23+'Consolidated P&amp;L'!BD23+'Consolidated P&amp;L'!BE23+'Consolidated P&amp;L'!BF23+'Consolidated P&amp;L'!BG23+'Consolidated P&amp;L'!BH23+'Consolidated P&amp;L'!BI23+'Consolidated P&amp;L'!BJ23)*12/12+Assumptions!H60)*Assumptions!B8)-BJ5)),0)</f>
        <v/>
      </c>
      <c r="BL16" s="157">
        <f>C16+D16+E16+F16+G16+H16+I16+J16+K16+L16+M16+N16</f>
        <v/>
      </c>
      <c r="BM16" s="157">
        <f>O16+P16+Q16+R16+S16+T16+U16+V16+W16+X16+Y16+Z16</f>
        <v/>
      </c>
      <c r="BN16" s="157">
        <f>AA16+AB16+AC16+AD16+AE16+AF16+AG16+AH16+AI16+AJ16+AK16+AL16</f>
        <v/>
      </c>
      <c r="BO16" s="157">
        <f>AM16+AN16+AO16+AP16+AQ16+AR16+AS16+AT16+AU16+AV16+AW16+AX16</f>
        <v/>
      </c>
      <c r="BP16" s="157">
        <f>AY16+AZ16+BA16+BB16+BC16+BD16+BE16+BF16+BG16+BH16+BI16+BJ16</f>
        <v/>
      </c>
    </row>
    <row r="17" ht="15" customHeight="1" s="104">
      <c r="A17" s="116" t="inlineStr">
        <is>
          <t>Total New Draws</t>
        </is>
      </c>
      <c r="C17" s="151">
        <f>C6+C7+C8+C9+C10+C11+C12+C13+C14+C15+C16</f>
        <v/>
      </c>
      <c r="D17" s="151">
        <f>D6+D7+D8+D9+D10+D11+D12+D13+D14+D15+D16</f>
        <v/>
      </c>
      <c r="E17" s="151">
        <f>E6+E7+E8+E9+E10+E11+E12+E13+E14+E15+E16</f>
        <v/>
      </c>
      <c r="F17" s="151">
        <f>F6+F7+F8+F9+F10+F11+F12+F13+F14+F15+F16</f>
        <v/>
      </c>
      <c r="G17" s="151">
        <f>G6+G7+G8+G9+G10+G11+G12+G13+G14+G15+G16</f>
        <v/>
      </c>
      <c r="H17" s="151">
        <f>H6+H7+H8+H9+H10+H11+H12+H13+H14+H15+H16</f>
        <v/>
      </c>
      <c r="I17" s="151">
        <f>I6+I7+I8+I9+I10+I11+I12+I13+I14+I15+I16</f>
        <v/>
      </c>
      <c r="J17" s="151">
        <f>J6+J7+J8+J9+J10+J11+J12+J13+J14+J15+J16</f>
        <v/>
      </c>
      <c r="K17" s="151">
        <f>K6+K7+K8+K9+K10+K11+K12+K13+K14+K15+K16</f>
        <v/>
      </c>
      <c r="L17" s="151">
        <f>L6+L7+L8+L9+L10+L11+L12+L13+L14+L15+L16</f>
        <v/>
      </c>
      <c r="M17" s="151">
        <f>M6+M7+M8+M9+M10+M11+M12+M13+M14+M15+M16</f>
        <v/>
      </c>
      <c r="N17" s="151">
        <f>N6+N7+N8+N9+N10+N11+N12+N13+N14+N15+N16</f>
        <v/>
      </c>
      <c r="O17" s="151">
        <f>O6+O7+O8+O9+O10+O11+O12+O13+O14+O15+O16</f>
        <v/>
      </c>
      <c r="P17" s="151">
        <f>P6+P7+P8+P9+P10+P11+P12+P13+P14+P15+P16</f>
        <v/>
      </c>
      <c r="Q17" s="151">
        <f>Q6+Q7+Q8+Q9+Q10+Q11+Q12+Q13+Q14+Q15+Q16</f>
        <v/>
      </c>
      <c r="R17" s="151">
        <f>R6+R7+R8+R9+R10+R11+R12+R13+R14+R15+R16</f>
        <v/>
      </c>
      <c r="S17" s="151">
        <f>S6+S7+S8+S9+S10+S11+S12+S13+S14+S15+S16</f>
        <v/>
      </c>
      <c r="T17" s="151">
        <f>T6+T7+T8+T9+T10+T11+T12+T13+T14+T15+T16</f>
        <v/>
      </c>
      <c r="U17" s="151">
        <f>U6+U7+U8+U9+U10+U11+U12+U13+U14+U15+U16</f>
        <v/>
      </c>
      <c r="V17" s="151">
        <f>V6+V7+V8+V9+V10+V11+V12+V13+V14+V15+V16</f>
        <v/>
      </c>
      <c r="W17" s="151">
        <f>W6+W7+W8+W9+W10+W11+W12+W13+W14+W15+W16</f>
        <v/>
      </c>
      <c r="X17" s="151">
        <f>X6+X7+X8+X9+X10+X11+X12+X13+X14+X15+X16</f>
        <v/>
      </c>
      <c r="Y17" s="151">
        <f>Y6+Y7+Y8+Y9+Y10+Y11+Y12+Y13+Y14+Y15+Y16</f>
        <v/>
      </c>
      <c r="Z17" s="151">
        <f>Z6+Z7+Z8+Z9+Z10+Z11+Z12+Z13+Z14+Z15+Z16</f>
        <v/>
      </c>
      <c r="AA17" s="151">
        <f>AA6+AA7+AA8+AA9+AA10+AA11+AA12+AA13+AA14+AA15+AA16</f>
        <v/>
      </c>
      <c r="AB17" s="151">
        <f>AB6+AB7+AB8+AB9+AB10+AB11+AB12+AB13+AB14+AB15+AB16</f>
        <v/>
      </c>
      <c r="AC17" s="151">
        <f>AC6+AC7+AC8+AC9+AC10+AC11+AC12+AC13+AC14+AC15+AC16</f>
        <v/>
      </c>
      <c r="AD17" s="151">
        <f>AD6+AD7+AD8+AD9+AD10+AD11+AD12+AD13+AD14+AD15+AD16</f>
        <v/>
      </c>
      <c r="AE17" s="151">
        <f>AE6+AE7+AE8+AE9+AE10+AE11+AE12+AE13+AE14+AE15+AE16</f>
        <v/>
      </c>
      <c r="AF17" s="151">
        <f>AF6+AF7+AF8+AF9+AF10+AF11+AF12+AF13+AF14+AF15+AF16</f>
        <v/>
      </c>
      <c r="AG17" s="151">
        <f>AG6+AG7+AG8+AG9+AG10+AG11+AG12+AG13+AG14+AG15+AG16</f>
        <v/>
      </c>
      <c r="AH17" s="151">
        <f>AH6+AH7+AH8+AH9+AH10+AH11+AH12+AH13+AH14+AH15+AH16</f>
        <v/>
      </c>
      <c r="AI17" s="151">
        <f>AI6+AI7+AI8+AI9+AI10+AI11+AI12+AI13+AI14+AI15+AI16</f>
        <v/>
      </c>
      <c r="AJ17" s="151">
        <f>AJ6+AJ7+AJ8+AJ9+AJ10+AJ11+AJ12+AJ13+AJ14+AJ15+AJ16</f>
        <v/>
      </c>
      <c r="AK17" s="151">
        <f>AK6+AK7+AK8+AK9+AK10+AK11+AK12+AK13+AK14+AK15+AK16</f>
        <v/>
      </c>
      <c r="AL17" s="151">
        <f>AL6+AL7+AL8+AL9+AL10+AL11+AL12+AL13+AL14+AL15+AL16</f>
        <v/>
      </c>
      <c r="AM17" s="151">
        <f>AM6+AM7+AM8+AM9+AM10+AM11+AM12+AM13+AM14+AM15+AM16</f>
        <v/>
      </c>
      <c r="AN17" s="151">
        <f>AN6+AN7+AN8+AN9+AN10+AN11+AN12+AN13+AN14+AN15+AN16</f>
        <v/>
      </c>
      <c r="AO17" s="151">
        <f>AO6+AO7+AO8+AO9+AO10+AO11+AO12+AO13+AO14+AO15+AO16</f>
        <v/>
      </c>
      <c r="AP17" s="151">
        <f>AP6+AP7+AP8+AP9+AP10+AP11+AP12+AP13+AP14+AP15+AP16</f>
        <v/>
      </c>
      <c r="AQ17" s="151">
        <f>AQ6+AQ7+AQ8+AQ9+AQ10+AQ11+AQ12+AQ13+AQ14+AQ15+AQ16</f>
        <v/>
      </c>
      <c r="AR17" s="151">
        <f>AR6+AR7+AR8+AR9+AR10+AR11+AR12+AR13+AR14+AR15+AR16</f>
        <v/>
      </c>
      <c r="AS17" s="151">
        <f>AS6+AS7+AS8+AS9+AS10+AS11+AS12+AS13+AS14+AS15+AS16</f>
        <v/>
      </c>
      <c r="AT17" s="151">
        <f>AT6+AT7+AT8+AT9+AT10+AT11+AT12+AT13+AT14+AT15+AT16</f>
        <v/>
      </c>
      <c r="AU17" s="151">
        <f>AU6+AU7+AU8+AU9+AU10+AU11+AU12+AU13+AU14+AU15+AU16</f>
        <v/>
      </c>
      <c r="AV17" s="151">
        <f>AV6+AV7+AV8+AV9+AV10+AV11+AV12+AV13+AV14+AV15+AV16</f>
        <v/>
      </c>
      <c r="AW17" s="151">
        <f>AW6+AW7+AW8+AW9+AW10+AW11+AW12+AW13+AW14+AW15+AW16</f>
        <v/>
      </c>
      <c r="AX17" s="151">
        <f>AX6+AX7+AX8+AX9+AX10+AX11+AX12+AX13+AX14+AX15+AX16</f>
        <v/>
      </c>
      <c r="AY17" s="151">
        <f>AY6+AY7+AY8+AY9+AY10+AY11+AY12+AY13+AY14+AY15+AY16</f>
        <v/>
      </c>
      <c r="AZ17" s="151">
        <f>AZ6+AZ7+AZ8+AZ9+AZ10+AZ11+AZ12+AZ13+AZ14+AZ15+AZ16</f>
        <v/>
      </c>
      <c r="BA17" s="151">
        <f>BA6+BA7+BA8+BA9+BA10+BA11+BA12+BA13+BA14+BA15+BA16</f>
        <v/>
      </c>
      <c r="BB17" s="151">
        <f>BB6+BB7+BB8+BB9+BB10+BB11+BB12+BB13+BB14+BB15+BB16</f>
        <v/>
      </c>
      <c r="BC17" s="151">
        <f>BC6+BC7+BC8+BC9+BC10+BC11+BC12+BC13+BC14+BC15+BC16</f>
        <v/>
      </c>
      <c r="BD17" s="151">
        <f>BD6+BD7+BD8+BD9+BD10+BD11+BD12+BD13+BD14+BD15+BD16</f>
        <v/>
      </c>
      <c r="BE17" s="151">
        <f>BE6+BE7+BE8+BE9+BE10+BE11+BE12+BE13+BE14+BE15+BE16</f>
        <v/>
      </c>
      <c r="BF17" s="151">
        <f>BF6+BF7+BF8+BF9+BF10+BF11+BF12+BF13+BF14+BF15+BF16</f>
        <v/>
      </c>
      <c r="BG17" s="151">
        <f>BG6+BG7+BG8+BG9+BG10+BG11+BG12+BG13+BG14+BG15+BG16</f>
        <v/>
      </c>
      <c r="BH17" s="151">
        <f>BH6+BH7+BH8+BH9+BH10+BH11+BH12+BH13+BH14+BH15+BH16</f>
        <v/>
      </c>
      <c r="BI17" s="151">
        <f>BI6+BI7+BI8+BI9+BI10+BI11+BI12+BI13+BI14+BI15+BI16</f>
        <v/>
      </c>
      <c r="BJ17" s="151">
        <f>BJ6+BJ7+BJ8+BJ9+BJ10+BJ11+BJ12+BJ13+BJ14+BJ15+BJ16</f>
        <v/>
      </c>
      <c r="BL17" s="152">
        <f>C17+D17+E17+F17+G17+H17+I17+J17+K17+L17+M17+N17</f>
        <v/>
      </c>
      <c r="BM17" s="152">
        <f>O17+P17+Q17+R17+S17+T17+U17+V17+W17+X17+Y17+Z17</f>
        <v/>
      </c>
      <c r="BN17" s="152">
        <f>AA17+AB17+AC17+AD17+AE17+AF17+AG17+AH17+AI17+AJ17+AK17+AL17</f>
        <v/>
      </c>
      <c r="BO17" s="152">
        <f>AM17+AN17+AO17+AP17+AQ17+AR17+AS17+AT17+AU17+AV17+AW17+AX17</f>
        <v/>
      </c>
      <c r="BP17" s="152">
        <f>AY17+AZ17+BA17+BB17+BC17+BD17+BE17+BF17+BG17+BH17+BI17+BJ17</f>
        <v/>
      </c>
    </row>
    <row r="18" ht="15" customHeight="1" s="104">
      <c r="A18" s="107" t="inlineStr">
        <is>
          <t xml:space="preserve">    Principal Repayment</t>
        </is>
      </c>
      <c r="C18" s="156">
        <f>(C5+C17)*Assumptions!B10/12</f>
        <v/>
      </c>
      <c r="D18" s="156">
        <f>(D5+D17)*Assumptions!B10/12</f>
        <v/>
      </c>
      <c r="E18" s="156">
        <f>(E5+E17)*Assumptions!B10/12</f>
        <v/>
      </c>
      <c r="F18" s="156">
        <f>(F5+F17)*Assumptions!B10/12</f>
        <v/>
      </c>
      <c r="G18" s="156">
        <f>(G5+G17)*Assumptions!B10/12</f>
        <v/>
      </c>
      <c r="H18" s="156">
        <f>(H5+H17)*Assumptions!B10/12</f>
        <v/>
      </c>
      <c r="I18" s="156">
        <f>(I5+I17)*Assumptions!B10/12</f>
        <v/>
      </c>
      <c r="J18" s="156">
        <f>(J5+J17)*Assumptions!B10/12</f>
        <v/>
      </c>
      <c r="K18" s="156">
        <f>(K5+K17)*Assumptions!B10/12</f>
        <v/>
      </c>
      <c r="L18" s="156">
        <f>(L5+L17)*Assumptions!B10/12</f>
        <v/>
      </c>
      <c r="M18" s="156">
        <f>(M5+M17)*Assumptions!B10/12</f>
        <v/>
      </c>
      <c r="N18" s="156">
        <f>(N5+N17)*Assumptions!B10/12</f>
        <v/>
      </c>
      <c r="O18" s="156">
        <f>(O5+O17)*Assumptions!B10/12</f>
        <v/>
      </c>
      <c r="P18" s="156">
        <f>(P5+P17)*Assumptions!B10/12</f>
        <v/>
      </c>
      <c r="Q18" s="156">
        <f>(Q5+Q17)*Assumptions!B10/12</f>
        <v/>
      </c>
      <c r="R18" s="156">
        <f>(R5+R17)*Assumptions!B10/12</f>
        <v/>
      </c>
      <c r="S18" s="156">
        <f>(S5+S17)*Assumptions!B10/12</f>
        <v/>
      </c>
      <c r="T18" s="156">
        <f>(T5+T17)*Assumptions!B10/12</f>
        <v/>
      </c>
      <c r="U18" s="156">
        <f>(U5+U17)*Assumptions!B10/12</f>
        <v/>
      </c>
      <c r="V18" s="156">
        <f>(V5+V17)*Assumptions!B10/12</f>
        <v/>
      </c>
      <c r="W18" s="156">
        <f>(W5+W17)*Assumptions!B10/12</f>
        <v/>
      </c>
      <c r="X18" s="156">
        <f>(X5+X17)*Assumptions!B10/12</f>
        <v/>
      </c>
      <c r="Y18" s="156">
        <f>(Y5+Y17)*Assumptions!B10/12</f>
        <v/>
      </c>
      <c r="Z18" s="156">
        <f>(Z5+Z17)*Assumptions!B10/12</f>
        <v/>
      </c>
      <c r="AA18" s="156">
        <f>(AA5+AA17)*Assumptions!B10/12</f>
        <v/>
      </c>
      <c r="AB18" s="156">
        <f>(AB5+AB17)*Assumptions!B10/12</f>
        <v/>
      </c>
      <c r="AC18" s="156">
        <f>(AC5+AC17)*Assumptions!B10/12</f>
        <v/>
      </c>
      <c r="AD18" s="156">
        <f>(AD5+AD17)*Assumptions!B10/12</f>
        <v/>
      </c>
      <c r="AE18" s="156">
        <f>(AE5+AE17)*Assumptions!B10/12</f>
        <v/>
      </c>
      <c r="AF18" s="156">
        <f>(AF5+AF17)*Assumptions!B10/12</f>
        <v/>
      </c>
      <c r="AG18" s="156">
        <f>(AG5+AG17)*Assumptions!B10/12</f>
        <v/>
      </c>
      <c r="AH18" s="156">
        <f>(AH5+AH17)*Assumptions!B10/12</f>
        <v/>
      </c>
      <c r="AI18" s="156">
        <f>(AI5+AI17)*Assumptions!B10/12</f>
        <v/>
      </c>
      <c r="AJ18" s="156">
        <f>(AJ5+AJ17)*Assumptions!B10/12</f>
        <v/>
      </c>
      <c r="AK18" s="156">
        <f>(AK5+AK17)*Assumptions!B10/12</f>
        <v/>
      </c>
      <c r="AL18" s="156">
        <f>(AL5+AL17)*Assumptions!B10/12</f>
        <v/>
      </c>
      <c r="AM18" s="156">
        <f>(AM5+AM17)*Assumptions!B10/12</f>
        <v/>
      </c>
      <c r="AN18" s="156">
        <f>(AN5+AN17)*Assumptions!B10/12</f>
        <v/>
      </c>
      <c r="AO18" s="156">
        <f>(AO5+AO17)*Assumptions!B10/12</f>
        <v/>
      </c>
      <c r="AP18" s="156">
        <f>(AP5+AP17)*Assumptions!B10/12</f>
        <v/>
      </c>
      <c r="AQ18" s="156">
        <f>(AQ5+AQ17)*Assumptions!B10/12</f>
        <v/>
      </c>
      <c r="AR18" s="156">
        <f>(AR5+AR17)*Assumptions!B10/12</f>
        <v/>
      </c>
      <c r="AS18" s="156">
        <f>(AS5+AS17)*Assumptions!B10/12</f>
        <v/>
      </c>
      <c r="AT18" s="156">
        <f>(AT5+AT17)*Assumptions!B10/12</f>
        <v/>
      </c>
      <c r="AU18" s="156">
        <f>(AU5+AU17)*Assumptions!B10/12</f>
        <v/>
      </c>
      <c r="AV18" s="156">
        <f>(AV5+AV17)*Assumptions!B10/12</f>
        <v/>
      </c>
      <c r="AW18" s="156">
        <f>(AW5+AW17)*Assumptions!B10/12</f>
        <v/>
      </c>
      <c r="AX18" s="156">
        <f>(AX5+AX17)*Assumptions!B10/12</f>
        <v/>
      </c>
      <c r="AY18" s="156">
        <f>(AY5+AY17)*Assumptions!B10/12</f>
        <v/>
      </c>
      <c r="AZ18" s="156">
        <f>(AZ5+AZ17)*Assumptions!B10/12</f>
        <v/>
      </c>
      <c r="BA18" s="156">
        <f>(BA5+BA17)*Assumptions!B10/12</f>
        <v/>
      </c>
      <c r="BB18" s="156">
        <f>(BB5+BB17)*Assumptions!B10/12</f>
        <v/>
      </c>
      <c r="BC18" s="156">
        <f>(BC5+BC17)*Assumptions!B10/12</f>
        <v/>
      </c>
      <c r="BD18" s="156">
        <f>(BD5+BD17)*Assumptions!B10/12</f>
        <v/>
      </c>
      <c r="BE18" s="156">
        <f>(BE5+BE17)*Assumptions!B10/12</f>
        <v/>
      </c>
      <c r="BF18" s="156">
        <f>(BF5+BF17)*Assumptions!B10/12</f>
        <v/>
      </c>
      <c r="BG18" s="156">
        <f>(BG5+BG17)*Assumptions!B10/12</f>
        <v/>
      </c>
      <c r="BH18" s="156">
        <f>(BH5+BH17)*Assumptions!B10/12</f>
        <v/>
      </c>
      <c r="BI18" s="156">
        <f>(BI5+BI17)*Assumptions!B10/12</f>
        <v/>
      </c>
      <c r="BJ18" s="156">
        <f>(BJ5+BJ17)*Assumptions!B10/12</f>
        <v/>
      </c>
      <c r="BL18" s="157">
        <f>C18+D18+E18+F18+G18+H18+I18+J18+K18+L18+M18+N18</f>
        <v/>
      </c>
      <c r="BM18" s="157">
        <f>O18+P18+Q18+R18+S18+T18+U18+V18+W18+X18+Y18+Z18</f>
        <v/>
      </c>
      <c r="BN18" s="157">
        <f>AA18+AB18+AC18+AD18+AE18+AF18+AG18+AH18+AI18+AJ18+AK18+AL18</f>
        <v/>
      </c>
      <c r="BO18" s="157">
        <f>AM18+AN18+AO18+AP18+AQ18+AR18+AS18+AT18+AU18+AV18+AW18+AX18</f>
        <v/>
      </c>
      <c r="BP18" s="157">
        <f>AY18+AZ18+BA18+BB18+BC18+BD18+BE18+BF18+BG18+BH18+BI18+BJ18</f>
        <v/>
      </c>
    </row>
    <row r="19" ht="15" customHeight="1" s="104">
      <c r="A19" s="116" t="inlineStr">
        <is>
          <t>Ending Balance</t>
        </is>
      </c>
      <c r="C19" s="151">
        <f>C5+C17-C18</f>
        <v/>
      </c>
      <c r="D19" s="151">
        <f>D5+D17-D18</f>
        <v/>
      </c>
      <c r="E19" s="151">
        <f>E5+E17-E18</f>
        <v/>
      </c>
      <c r="F19" s="151">
        <f>F5+F17-F18</f>
        <v/>
      </c>
      <c r="G19" s="151">
        <f>G5+G17-G18</f>
        <v/>
      </c>
      <c r="H19" s="151">
        <f>H5+H17-H18</f>
        <v/>
      </c>
      <c r="I19" s="151">
        <f>I5+I17-I18</f>
        <v/>
      </c>
      <c r="J19" s="151">
        <f>J5+J17-J18</f>
        <v/>
      </c>
      <c r="K19" s="151">
        <f>K5+K17-K18</f>
        <v/>
      </c>
      <c r="L19" s="151">
        <f>L5+L17-L18</f>
        <v/>
      </c>
      <c r="M19" s="151">
        <f>M5+M17-M18</f>
        <v/>
      </c>
      <c r="N19" s="151">
        <f>N5+N17-N18</f>
        <v/>
      </c>
      <c r="O19" s="151">
        <f>O5+O17-O18</f>
        <v/>
      </c>
      <c r="P19" s="151">
        <f>P5+P17-P18</f>
        <v/>
      </c>
      <c r="Q19" s="151">
        <f>Q5+Q17-Q18</f>
        <v/>
      </c>
      <c r="R19" s="151">
        <f>R5+R17-R18</f>
        <v/>
      </c>
      <c r="S19" s="151">
        <f>S5+S17-S18</f>
        <v/>
      </c>
      <c r="T19" s="151">
        <f>T5+T17-T18</f>
        <v/>
      </c>
      <c r="U19" s="151">
        <f>U5+U17-U18</f>
        <v/>
      </c>
      <c r="V19" s="151">
        <f>V5+V17-V18</f>
        <v/>
      </c>
      <c r="W19" s="151">
        <f>W5+W17-W18</f>
        <v/>
      </c>
      <c r="X19" s="151">
        <f>X5+X17-X18</f>
        <v/>
      </c>
      <c r="Y19" s="151">
        <f>Y5+Y17-Y18</f>
        <v/>
      </c>
      <c r="Z19" s="151">
        <f>Z5+Z17-Z18</f>
        <v/>
      </c>
      <c r="AA19" s="151">
        <f>AA5+AA17-AA18</f>
        <v/>
      </c>
      <c r="AB19" s="151">
        <f>AB5+AB17-AB18</f>
        <v/>
      </c>
      <c r="AC19" s="151">
        <f>AC5+AC17-AC18</f>
        <v/>
      </c>
      <c r="AD19" s="151">
        <f>AD5+AD17-AD18</f>
        <v/>
      </c>
      <c r="AE19" s="151">
        <f>AE5+AE17-AE18</f>
        <v/>
      </c>
      <c r="AF19" s="151">
        <f>AF5+AF17-AF18</f>
        <v/>
      </c>
      <c r="AG19" s="151">
        <f>AG5+AG17-AG18</f>
        <v/>
      </c>
      <c r="AH19" s="151">
        <f>AH5+AH17-AH18</f>
        <v/>
      </c>
      <c r="AI19" s="151">
        <f>AI5+AI17-AI18</f>
        <v/>
      </c>
      <c r="AJ19" s="151">
        <f>AJ5+AJ17-AJ18</f>
        <v/>
      </c>
      <c r="AK19" s="151">
        <f>AK5+AK17-AK18</f>
        <v/>
      </c>
      <c r="AL19" s="151">
        <f>AL5+AL17-AL18</f>
        <v/>
      </c>
      <c r="AM19" s="151">
        <f>AM5+AM17-AM18</f>
        <v/>
      </c>
      <c r="AN19" s="151">
        <f>AN5+AN17-AN18</f>
        <v/>
      </c>
      <c r="AO19" s="151">
        <f>AO5+AO17-AO18</f>
        <v/>
      </c>
      <c r="AP19" s="151">
        <f>AP5+AP17-AP18</f>
        <v/>
      </c>
      <c r="AQ19" s="151">
        <f>AQ5+AQ17-AQ18</f>
        <v/>
      </c>
      <c r="AR19" s="151">
        <f>AR5+AR17-AR18</f>
        <v/>
      </c>
      <c r="AS19" s="151">
        <f>AS5+AS17-AS18</f>
        <v/>
      </c>
      <c r="AT19" s="151">
        <f>AT5+AT17-AT18</f>
        <v/>
      </c>
      <c r="AU19" s="151">
        <f>AU5+AU17-AU18</f>
        <v/>
      </c>
      <c r="AV19" s="151">
        <f>AV5+AV17-AV18</f>
        <v/>
      </c>
      <c r="AW19" s="151">
        <f>AW5+AW17-AW18</f>
        <v/>
      </c>
      <c r="AX19" s="151">
        <f>AX5+AX17-AX18</f>
        <v/>
      </c>
      <c r="AY19" s="151">
        <f>AY5+AY17-AY18</f>
        <v/>
      </c>
      <c r="AZ19" s="151">
        <f>AZ5+AZ17-AZ18</f>
        <v/>
      </c>
      <c r="BA19" s="151">
        <f>BA5+BA17-BA18</f>
        <v/>
      </c>
      <c r="BB19" s="151">
        <f>BB5+BB17-BB18</f>
        <v/>
      </c>
      <c r="BC19" s="151">
        <f>BC5+BC17-BC18</f>
        <v/>
      </c>
      <c r="BD19" s="151">
        <f>BD5+BD17-BD18</f>
        <v/>
      </c>
      <c r="BE19" s="151">
        <f>BE5+BE17-BE18</f>
        <v/>
      </c>
      <c r="BF19" s="151">
        <f>BF5+BF17-BF18</f>
        <v/>
      </c>
      <c r="BG19" s="151">
        <f>BG5+BG17-BG18</f>
        <v/>
      </c>
      <c r="BH19" s="151">
        <f>BH5+BH17-BH18</f>
        <v/>
      </c>
      <c r="BI19" s="151">
        <f>BI5+BI17-BI18</f>
        <v/>
      </c>
      <c r="BJ19" s="151">
        <f>BJ5+BJ17-BJ18</f>
        <v/>
      </c>
      <c r="BL19" s="152">
        <f>N19</f>
        <v/>
      </c>
      <c r="BM19" s="152">
        <f>Z19</f>
        <v/>
      </c>
      <c r="BN19" s="152">
        <f>AL19</f>
        <v/>
      </c>
      <c r="BO19" s="152">
        <f>AX19</f>
        <v/>
      </c>
      <c r="BP19" s="152">
        <f>BJ19</f>
        <v/>
      </c>
    </row>
    <row r="20" ht="15" customHeight="1" s="104">
      <c r="A20" s="107" t="inlineStr">
        <is>
          <t xml:space="preserve">    Interest Expense</t>
        </is>
      </c>
      <c r="C20" s="156">
        <f>AVERAGE(C5,C19)*Assumptions!B9/12</f>
        <v/>
      </c>
      <c r="D20" s="156">
        <f>AVERAGE(D5,D19)*Assumptions!B9/12</f>
        <v/>
      </c>
      <c r="E20" s="156">
        <f>AVERAGE(E5,E19)*Assumptions!B9/12</f>
        <v/>
      </c>
      <c r="F20" s="156">
        <f>AVERAGE(F5,F19)*Assumptions!B9/12</f>
        <v/>
      </c>
      <c r="G20" s="156">
        <f>AVERAGE(G5,G19)*Assumptions!B9/12</f>
        <v/>
      </c>
      <c r="H20" s="156">
        <f>AVERAGE(H5,H19)*Assumptions!B9/12</f>
        <v/>
      </c>
      <c r="I20" s="156">
        <f>AVERAGE(I5,I19)*Assumptions!B9/12</f>
        <v/>
      </c>
      <c r="J20" s="156">
        <f>AVERAGE(J5,J19)*Assumptions!B9/12</f>
        <v/>
      </c>
      <c r="K20" s="156">
        <f>AVERAGE(K5,K19)*Assumptions!B9/12</f>
        <v/>
      </c>
      <c r="L20" s="156">
        <f>AVERAGE(L5,L19)*Assumptions!B9/12</f>
        <v/>
      </c>
      <c r="M20" s="156">
        <f>AVERAGE(M5,M19)*Assumptions!B9/12</f>
        <v/>
      </c>
      <c r="N20" s="156">
        <f>AVERAGE(N5,N19)*Assumptions!B9/12</f>
        <v/>
      </c>
      <c r="O20" s="156">
        <f>AVERAGE(O5,O19)*Assumptions!B9/12</f>
        <v/>
      </c>
      <c r="P20" s="156">
        <f>AVERAGE(P5,P19)*Assumptions!B9/12</f>
        <v/>
      </c>
      <c r="Q20" s="156">
        <f>AVERAGE(Q5,Q19)*Assumptions!B9/12</f>
        <v/>
      </c>
      <c r="R20" s="156">
        <f>AVERAGE(R5,R19)*Assumptions!B9/12</f>
        <v/>
      </c>
      <c r="S20" s="156">
        <f>AVERAGE(S5,S19)*Assumptions!B9/12</f>
        <v/>
      </c>
      <c r="T20" s="156">
        <f>AVERAGE(T5,T19)*Assumptions!B9/12</f>
        <v/>
      </c>
      <c r="U20" s="156">
        <f>AVERAGE(U5,U19)*Assumptions!B9/12</f>
        <v/>
      </c>
      <c r="V20" s="156">
        <f>AVERAGE(V5,V19)*Assumptions!B9/12</f>
        <v/>
      </c>
      <c r="W20" s="156">
        <f>AVERAGE(W5,W19)*Assumptions!B9/12</f>
        <v/>
      </c>
      <c r="X20" s="156">
        <f>AVERAGE(X5,X19)*Assumptions!B9/12</f>
        <v/>
      </c>
      <c r="Y20" s="156">
        <f>AVERAGE(Y5,Y19)*Assumptions!B9/12</f>
        <v/>
      </c>
      <c r="Z20" s="156">
        <f>AVERAGE(Z5,Z19)*Assumptions!B9/12</f>
        <v/>
      </c>
      <c r="AA20" s="156">
        <f>AVERAGE(AA5,AA19)*Assumptions!B9/12</f>
        <v/>
      </c>
      <c r="AB20" s="156">
        <f>AVERAGE(AB5,AB19)*Assumptions!B9/12</f>
        <v/>
      </c>
      <c r="AC20" s="156">
        <f>AVERAGE(AC5,AC19)*Assumptions!B9/12</f>
        <v/>
      </c>
      <c r="AD20" s="156">
        <f>AVERAGE(AD5,AD19)*Assumptions!B9/12</f>
        <v/>
      </c>
      <c r="AE20" s="156">
        <f>AVERAGE(AE5,AE19)*Assumptions!B9/12</f>
        <v/>
      </c>
      <c r="AF20" s="156">
        <f>AVERAGE(AF5,AF19)*Assumptions!B9/12</f>
        <v/>
      </c>
      <c r="AG20" s="156">
        <f>AVERAGE(AG5,AG19)*Assumptions!B9/12</f>
        <v/>
      </c>
      <c r="AH20" s="156">
        <f>AVERAGE(AH5,AH19)*Assumptions!B9/12</f>
        <v/>
      </c>
      <c r="AI20" s="156">
        <f>AVERAGE(AI5,AI19)*Assumptions!B9/12</f>
        <v/>
      </c>
      <c r="AJ20" s="156">
        <f>AVERAGE(AJ5,AJ19)*Assumptions!B9/12</f>
        <v/>
      </c>
      <c r="AK20" s="156">
        <f>AVERAGE(AK5,AK19)*Assumptions!B9/12</f>
        <v/>
      </c>
      <c r="AL20" s="156">
        <f>AVERAGE(AL5,AL19)*Assumptions!B9/12</f>
        <v/>
      </c>
      <c r="AM20" s="156">
        <f>AVERAGE(AM5,AM19)*Assumptions!B9/12</f>
        <v/>
      </c>
      <c r="AN20" s="156">
        <f>AVERAGE(AN5,AN19)*Assumptions!B9/12</f>
        <v/>
      </c>
      <c r="AO20" s="156">
        <f>AVERAGE(AO5,AO19)*Assumptions!B9/12</f>
        <v/>
      </c>
      <c r="AP20" s="156">
        <f>AVERAGE(AP5,AP19)*Assumptions!B9/12</f>
        <v/>
      </c>
      <c r="AQ20" s="156">
        <f>AVERAGE(AQ5,AQ19)*Assumptions!B9/12</f>
        <v/>
      </c>
      <c r="AR20" s="156">
        <f>AVERAGE(AR5,AR19)*Assumptions!B9/12</f>
        <v/>
      </c>
      <c r="AS20" s="156">
        <f>AVERAGE(AS5,AS19)*Assumptions!B9/12</f>
        <v/>
      </c>
      <c r="AT20" s="156">
        <f>AVERAGE(AT5,AT19)*Assumptions!B9/12</f>
        <v/>
      </c>
      <c r="AU20" s="156">
        <f>AVERAGE(AU5,AU19)*Assumptions!B9/12</f>
        <v/>
      </c>
      <c r="AV20" s="156">
        <f>AVERAGE(AV5,AV19)*Assumptions!B9/12</f>
        <v/>
      </c>
      <c r="AW20" s="156">
        <f>AVERAGE(AW5,AW19)*Assumptions!B9/12</f>
        <v/>
      </c>
      <c r="AX20" s="156">
        <f>AVERAGE(AX5,AX19)*Assumptions!B9/12</f>
        <v/>
      </c>
      <c r="AY20" s="156">
        <f>AVERAGE(AY5,AY19)*Assumptions!B9/12</f>
        <v/>
      </c>
      <c r="AZ20" s="156">
        <f>AVERAGE(AZ5,AZ19)*Assumptions!B9/12</f>
        <v/>
      </c>
      <c r="BA20" s="156">
        <f>AVERAGE(BA5,BA19)*Assumptions!B9/12</f>
        <v/>
      </c>
      <c r="BB20" s="156">
        <f>AVERAGE(BB5,BB19)*Assumptions!B9/12</f>
        <v/>
      </c>
      <c r="BC20" s="156">
        <f>AVERAGE(BC5,BC19)*Assumptions!B9/12</f>
        <v/>
      </c>
      <c r="BD20" s="156">
        <f>AVERAGE(BD5,BD19)*Assumptions!B9/12</f>
        <v/>
      </c>
      <c r="BE20" s="156">
        <f>AVERAGE(BE5,BE19)*Assumptions!B9/12</f>
        <v/>
      </c>
      <c r="BF20" s="156">
        <f>AVERAGE(BF5,BF19)*Assumptions!B9/12</f>
        <v/>
      </c>
      <c r="BG20" s="156">
        <f>AVERAGE(BG5,BG19)*Assumptions!B9/12</f>
        <v/>
      </c>
      <c r="BH20" s="156">
        <f>AVERAGE(BH5,BH19)*Assumptions!B9/12</f>
        <v/>
      </c>
      <c r="BI20" s="156">
        <f>AVERAGE(BI5,BI19)*Assumptions!B9/12</f>
        <v/>
      </c>
      <c r="BJ20" s="156">
        <f>AVERAGE(BJ5,BJ19)*Assumptions!B9/12</f>
        <v/>
      </c>
      <c r="BL20" s="157">
        <f>C20+D20+E20+F20+G20+H20+I20+J20+K20+L20+M20+N20</f>
        <v/>
      </c>
      <c r="BM20" s="157">
        <f>O20+P20+Q20+R20+S20+T20+U20+V20+W20+X20+Y20+Z20</f>
        <v/>
      </c>
      <c r="BN20" s="157">
        <f>AA20+AB20+AC20+AD20+AE20+AF20+AG20+AH20+AI20+AJ20+AK20+AL20</f>
        <v/>
      </c>
      <c r="BO20" s="157">
        <f>AM20+AN20+AO20+AP20+AQ20+AR20+AS20+AT20+AU20+AV20+AW20+AX20</f>
        <v/>
      </c>
      <c r="BP20" s="157">
        <f>AY20+AZ20+BA20+BB20+BC20+BD20+BE20+BF20+BG20+BH20+BI20+BJ20</f>
        <v/>
      </c>
    </row>
    <row r="21" ht="15" customHeight="1" s="104">
      <c r="A21" s="107" t="inlineStr">
        <is>
          <t xml:space="preserve">    Total Cash Debt Service</t>
        </is>
      </c>
      <c r="C21" s="156">
        <f>C20+C18</f>
        <v/>
      </c>
      <c r="D21" s="156">
        <f>D20+D18</f>
        <v/>
      </c>
      <c r="E21" s="156">
        <f>E20+E18</f>
        <v/>
      </c>
      <c r="F21" s="156">
        <f>F20+F18</f>
        <v/>
      </c>
      <c r="G21" s="156">
        <f>G20+G18</f>
        <v/>
      </c>
      <c r="H21" s="156">
        <f>H20+H18</f>
        <v/>
      </c>
      <c r="I21" s="156">
        <f>I20+I18</f>
        <v/>
      </c>
      <c r="J21" s="156">
        <f>J20+J18</f>
        <v/>
      </c>
      <c r="K21" s="156">
        <f>K20+K18</f>
        <v/>
      </c>
      <c r="L21" s="156">
        <f>L20+L18</f>
        <v/>
      </c>
      <c r="M21" s="156">
        <f>M20+M18</f>
        <v/>
      </c>
      <c r="N21" s="156">
        <f>N20+N18</f>
        <v/>
      </c>
      <c r="O21" s="156">
        <f>O20+O18</f>
        <v/>
      </c>
      <c r="P21" s="156">
        <f>P20+P18</f>
        <v/>
      </c>
      <c r="Q21" s="156">
        <f>Q20+Q18</f>
        <v/>
      </c>
      <c r="R21" s="156">
        <f>R20+R18</f>
        <v/>
      </c>
      <c r="S21" s="156">
        <f>S20+S18</f>
        <v/>
      </c>
      <c r="T21" s="156">
        <f>T20+T18</f>
        <v/>
      </c>
      <c r="U21" s="156">
        <f>U20+U18</f>
        <v/>
      </c>
      <c r="V21" s="156">
        <f>V20+V18</f>
        <v/>
      </c>
      <c r="W21" s="156">
        <f>W20+W18</f>
        <v/>
      </c>
      <c r="X21" s="156">
        <f>X20+X18</f>
        <v/>
      </c>
      <c r="Y21" s="156">
        <f>Y20+Y18</f>
        <v/>
      </c>
      <c r="Z21" s="156">
        <f>Z20+Z18</f>
        <v/>
      </c>
      <c r="AA21" s="156">
        <f>AA20+AA18</f>
        <v/>
      </c>
      <c r="AB21" s="156">
        <f>AB20+AB18</f>
        <v/>
      </c>
      <c r="AC21" s="156">
        <f>AC20+AC18</f>
        <v/>
      </c>
      <c r="AD21" s="156">
        <f>AD20+AD18</f>
        <v/>
      </c>
      <c r="AE21" s="156">
        <f>AE20+AE18</f>
        <v/>
      </c>
      <c r="AF21" s="156">
        <f>AF20+AF18</f>
        <v/>
      </c>
      <c r="AG21" s="156">
        <f>AG20+AG18</f>
        <v/>
      </c>
      <c r="AH21" s="156">
        <f>AH20+AH18</f>
        <v/>
      </c>
      <c r="AI21" s="156">
        <f>AI20+AI18</f>
        <v/>
      </c>
      <c r="AJ21" s="156">
        <f>AJ20+AJ18</f>
        <v/>
      </c>
      <c r="AK21" s="156">
        <f>AK20+AK18</f>
        <v/>
      </c>
      <c r="AL21" s="156">
        <f>AL20+AL18</f>
        <v/>
      </c>
      <c r="AM21" s="156">
        <f>AM20+AM18</f>
        <v/>
      </c>
      <c r="AN21" s="156">
        <f>AN20+AN18</f>
        <v/>
      </c>
      <c r="AO21" s="156">
        <f>AO20+AO18</f>
        <v/>
      </c>
      <c r="AP21" s="156">
        <f>AP20+AP18</f>
        <v/>
      </c>
      <c r="AQ21" s="156">
        <f>AQ20+AQ18</f>
        <v/>
      </c>
      <c r="AR21" s="156">
        <f>AR20+AR18</f>
        <v/>
      </c>
      <c r="AS21" s="156">
        <f>AS20+AS18</f>
        <v/>
      </c>
      <c r="AT21" s="156">
        <f>AT20+AT18</f>
        <v/>
      </c>
      <c r="AU21" s="156">
        <f>AU20+AU18</f>
        <v/>
      </c>
      <c r="AV21" s="156">
        <f>AV20+AV18</f>
        <v/>
      </c>
      <c r="AW21" s="156">
        <f>AW20+AW18</f>
        <v/>
      </c>
      <c r="AX21" s="156">
        <f>AX20+AX18</f>
        <v/>
      </c>
      <c r="AY21" s="156">
        <f>AY20+AY18</f>
        <v/>
      </c>
      <c r="AZ21" s="156">
        <f>AZ20+AZ18</f>
        <v/>
      </c>
      <c r="BA21" s="156">
        <f>BA20+BA18</f>
        <v/>
      </c>
      <c r="BB21" s="156">
        <f>BB20+BB18</f>
        <v/>
      </c>
      <c r="BC21" s="156">
        <f>BC20+BC18</f>
        <v/>
      </c>
      <c r="BD21" s="156">
        <f>BD20+BD18</f>
        <v/>
      </c>
      <c r="BE21" s="156">
        <f>BE20+BE18</f>
        <v/>
      </c>
      <c r="BF21" s="156">
        <f>BF20+BF18</f>
        <v/>
      </c>
      <c r="BG21" s="156">
        <f>BG20+BG18</f>
        <v/>
      </c>
      <c r="BH21" s="156">
        <f>BH20+BH18</f>
        <v/>
      </c>
      <c r="BI21" s="156">
        <f>BI20+BI18</f>
        <v/>
      </c>
      <c r="BJ21" s="156">
        <f>BJ20+BJ18</f>
        <v/>
      </c>
      <c r="BL21" s="157">
        <f>C21+D21+E21+F21+G21+H21+I21+J21+K21+L21+M21+N21</f>
        <v/>
      </c>
      <c r="BM21" s="157">
        <f>O21+P21+Q21+R21+S21+T21+U21+V21+W21+X21+Y21+Z21</f>
        <v/>
      </c>
      <c r="BN21" s="157">
        <f>AA21+AB21+AC21+AD21+AE21+AF21+AG21+AH21+AI21+AJ21+AK21+AL21</f>
        <v/>
      </c>
      <c r="BO21" s="157">
        <f>AM21+AN21+AO21+AP21+AQ21+AR21+AS21+AT21+AU21+AV21+AW21+AX21</f>
        <v/>
      </c>
      <c r="BP21" s="157">
        <f>AY21+AZ21+BA21+BB21+BC21+BD21+BE21+BF21+BG21+BH21+BI21+BJ21</f>
        <v/>
      </c>
    </row>
    <row r="23" ht="15" customHeight="1" s="104">
      <c r="A23" s="106" t="inlineStr">
        <is>
          <t>DEBT CAPACITY ANALYSIS</t>
        </is>
      </c>
    </row>
    <row r="24" ht="15" customHeight="1" s="104">
      <c r="A24" s="107" t="inlineStr">
        <is>
          <t>Consolidated LTM EBITDA (annualized)</t>
        </is>
      </c>
      <c r="C24" s="156">
        <f>('Consolidated P&amp;L'!C23)*12/1</f>
        <v/>
      </c>
      <c r="D24" s="156">
        <f>('Consolidated P&amp;L'!C23+'Consolidated P&amp;L'!D23)*12/2</f>
        <v/>
      </c>
      <c r="E24" s="156">
        <f>('Consolidated P&amp;L'!C23+'Consolidated P&amp;L'!D23+'Consolidated P&amp;L'!E23)*12/3</f>
        <v/>
      </c>
      <c r="F24" s="156">
        <f>('Consolidated P&amp;L'!C23+'Consolidated P&amp;L'!D23+'Consolidated P&amp;L'!E23+'Consolidated P&amp;L'!F23)*12/4</f>
        <v/>
      </c>
      <c r="G24" s="156">
        <f>('Consolidated P&amp;L'!C23+'Consolidated P&amp;L'!D23+'Consolidated P&amp;L'!E23+'Consolidated P&amp;L'!F23+'Consolidated P&amp;L'!G23)*12/5</f>
        <v/>
      </c>
      <c r="H24" s="156">
        <f>('Consolidated P&amp;L'!C23+'Consolidated P&amp;L'!D23+'Consolidated P&amp;L'!E23+'Consolidated P&amp;L'!F23+'Consolidated P&amp;L'!G23+'Consolidated P&amp;L'!H23)*12/6</f>
        <v/>
      </c>
      <c r="I24" s="156">
        <f>('Consolidated P&amp;L'!C23+'Consolidated P&amp;L'!D23+'Consolidated P&amp;L'!E23+'Consolidated P&amp;L'!F23+'Consolidated P&amp;L'!G23+'Consolidated P&amp;L'!H23+'Consolidated P&amp;L'!I23)*12/7</f>
        <v/>
      </c>
      <c r="J24" s="156">
        <f>('Consolidated P&amp;L'!C23+'Consolidated P&amp;L'!D23+'Consolidated P&amp;L'!E23+'Consolidated P&amp;L'!F23+'Consolidated P&amp;L'!G23+'Consolidated P&amp;L'!H23+'Consolidated P&amp;L'!I23+'Consolidated P&amp;L'!J23)*12/8</f>
        <v/>
      </c>
      <c r="K24" s="156">
        <f>('Consolidated P&amp;L'!C23+'Consolidated P&amp;L'!D23+'Consolidated P&amp;L'!E23+'Consolidated P&amp;L'!F23+'Consolidated P&amp;L'!G23+'Consolidated P&amp;L'!H23+'Consolidated P&amp;L'!I23+'Consolidated P&amp;L'!J23+'Consolidated P&amp;L'!K23)*12/9</f>
        <v/>
      </c>
      <c r="L24" s="156">
        <f>('Consolidated P&amp;L'!C23+'Consolidated P&amp;L'!D23+'Consolidated P&amp;L'!E23+'Consolidated P&amp;L'!F23+'Consolidated P&amp;L'!G23+'Consolidated P&amp;L'!H23+'Consolidated P&amp;L'!I23+'Consolidated P&amp;L'!J23+'Consolidated P&amp;L'!K23+'Consolidated P&amp;L'!L23)*12/10</f>
        <v/>
      </c>
      <c r="M24" s="156">
        <f>('Consolidated P&amp;L'!C23+'Consolidated P&amp;L'!D23+'Consolidated P&amp;L'!E23+'Consolidated P&amp;L'!F23+'Consolidated P&amp;L'!G23+'Consolidated P&amp;L'!H23+'Consolidated P&amp;L'!I23+'Consolidated P&amp;L'!J23+'Consolidated P&amp;L'!K23+'Consolidated P&amp;L'!L23+'Consolidated P&amp;L'!M23)*12/11</f>
        <v/>
      </c>
      <c r="N24" s="156">
        <f>('Consolidated P&amp;L'!C23+'Consolidated P&amp;L'!D23+'Consolidated P&amp;L'!E23+'Consolidated P&amp;L'!F23+'Consolidated P&amp;L'!G23+'Consolidated P&amp;L'!H23+'Consolidated P&amp;L'!I23+'Consolidated P&amp;L'!J23+'Consolidated P&amp;L'!K23+'Consolidated P&amp;L'!L23+'Consolidated P&amp;L'!M23+'Consolidated P&amp;L'!N23)*12/12</f>
        <v/>
      </c>
      <c r="O24" s="156">
        <f>('Consolidated P&amp;L'!D23+'Consolidated P&amp;L'!E23+'Consolidated P&amp;L'!F23+'Consolidated P&amp;L'!G23+'Consolidated P&amp;L'!H23+'Consolidated P&amp;L'!I23+'Consolidated P&amp;L'!J23+'Consolidated P&amp;L'!K23+'Consolidated P&amp;L'!L23+'Consolidated P&amp;L'!M23+'Consolidated P&amp;L'!N23+'Consolidated P&amp;L'!O23)*12/12</f>
        <v/>
      </c>
      <c r="P24" s="156">
        <f>('Consolidated P&amp;L'!E23+'Consolidated P&amp;L'!F23+'Consolidated P&amp;L'!G23+'Consolidated P&amp;L'!H23+'Consolidated P&amp;L'!I23+'Consolidated P&amp;L'!J23+'Consolidated P&amp;L'!K23+'Consolidated P&amp;L'!L23+'Consolidated P&amp;L'!M23+'Consolidated P&amp;L'!N23+'Consolidated P&amp;L'!O23+'Consolidated P&amp;L'!P23)*12/12</f>
        <v/>
      </c>
      <c r="Q24" s="156">
        <f>('Consolidated P&amp;L'!F23+'Consolidated P&amp;L'!G23+'Consolidated P&amp;L'!H23+'Consolidated P&amp;L'!I23+'Consolidated P&amp;L'!J23+'Consolidated P&amp;L'!K23+'Consolidated P&amp;L'!L23+'Consolidated P&amp;L'!M23+'Consolidated P&amp;L'!N23+'Consolidated P&amp;L'!O23+'Consolidated P&amp;L'!P23+'Consolidated P&amp;L'!Q23)*12/12</f>
        <v/>
      </c>
      <c r="R24" s="156">
        <f>('Consolidated P&amp;L'!G23+'Consolidated P&amp;L'!H23+'Consolidated P&amp;L'!I23+'Consolidated P&amp;L'!J23+'Consolidated P&amp;L'!K23+'Consolidated P&amp;L'!L23+'Consolidated P&amp;L'!M23+'Consolidated P&amp;L'!N23+'Consolidated P&amp;L'!O23+'Consolidated P&amp;L'!P23+'Consolidated P&amp;L'!Q23+'Consolidated P&amp;L'!R23)*12/12</f>
        <v/>
      </c>
      <c r="S24" s="156">
        <f>('Consolidated P&amp;L'!H23+'Consolidated P&amp;L'!I23+'Consolidated P&amp;L'!J23+'Consolidated P&amp;L'!K23+'Consolidated P&amp;L'!L23+'Consolidated P&amp;L'!M23+'Consolidated P&amp;L'!N23+'Consolidated P&amp;L'!O23+'Consolidated P&amp;L'!P23+'Consolidated P&amp;L'!Q23+'Consolidated P&amp;L'!R23+'Consolidated P&amp;L'!S23)*12/12</f>
        <v/>
      </c>
      <c r="T24" s="156">
        <f>('Consolidated P&amp;L'!I23+'Consolidated P&amp;L'!J23+'Consolidated P&amp;L'!K23+'Consolidated P&amp;L'!L23+'Consolidated P&amp;L'!M23+'Consolidated P&amp;L'!N23+'Consolidated P&amp;L'!O23+'Consolidated P&amp;L'!P23+'Consolidated P&amp;L'!Q23+'Consolidated P&amp;L'!R23+'Consolidated P&amp;L'!S23+'Consolidated P&amp;L'!T23)*12/12</f>
        <v/>
      </c>
      <c r="U24" s="156">
        <f>('Consolidated P&amp;L'!J23+'Consolidated P&amp;L'!K23+'Consolidated P&amp;L'!L23+'Consolidated P&amp;L'!M23+'Consolidated P&amp;L'!N23+'Consolidated P&amp;L'!O23+'Consolidated P&amp;L'!P23+'Consolidated P&amp;L'!Q23+'Consolidated P&amp;L'!R23+'Consolidated P&amp;L'!S23+'Consolidated P&amp;L'!T23+'Consolidated P&amp;L'!U23)*12/12</f>
        <v/>
      </c>
      <c r="V24" s="156">
        <f>('Consolidated P&amp;L'!K23+'Consolidated P&amp;L'!L23+'Consolidated P&amp;L'!M23+'Consolidated P&amp;L'!N23+'Consolidated P&amp;L'!O23+'Consolidated P&amp;L'!P23+'Consolidated P&amp;L'!Q23+'Consolidated P&amp;L'!R23+'Consolidated P&amp;L'!S23+'Consolidated P&amp;L'!T23+'Consolidated P&amp;L'!U23+'Consolidated P&amp;L'!V23)*12/12</f>
        <v/>
      </c>
      <c r="W24" s="156">
        <f>('Consolidated P&amp;L'!L23+'Consolidated P&amp;L'!M23+'Consolidated P&amp;L'!N23+'Consolidated P&amp;L'!O23+'Consolidated P&amp;L'!P23+'Consolidated P&amp;L'!Q23+'Consolidated P&amp;L'!R23+'Consolidated P&amp;L'!S23+'Consolidated P&amp;L'!T23+'Consolidated P&amp;L'!U23+'Consolidated P&amp;L'!V23+'Consolidated P&amp;L'!W23)*12/12</f>
        <v/>
      </c>
      <c r="X24" s="156">
        <f>('Consolidated P&amp;L'!M23+'Consolidated P&amp;L'!N23+'Consolidated P&amp;L'!O23+'Consolidated P&amp;L'!P23+'Consolidated P&amp;L'!Q23+'Consolidated P&amp;L'!R23+'Consolidated P&amp;L'!S23+'Consolidated P&amp;L'!T23+'Consolidated P&amp;L'!U23+'Consolidated P&amp;L'!V23+'Consolidated P&amp;L'!W23+'Consolidated P&amp;L'!X23)*12/12</f>
        <v/>
      </c>
      <c r="Y24" s="156">
        <f>('Consolidated P&amp;L'!N23+'Consolidated P&amp;L'!O23+'Consolidated P&amp;L'!P23+'Consolidated P&amp;L'!Q23+'Consolidated P&amp;L'!R23+'Consolidated P&amp;L'!S23+'Consolidated P&amp;L'!T23+'Consolidated P&amp;L'!U23+'Consolidated P&amp;L'!V23+'Consolidated P&amp;L'!W23+'Consolidated P&amp;L'!X23+'Consolidated P&amp;L'!Y23)*12/12</f>
        <v/>
      </c>
      <c r="Z24" s="156">
        <f>('Consolidated P&amp;L'!O23+'Consolidated P&amp;L'!P23+'Consolidated P&amp;L'!Q23+'Consolidated P&amp;L'!R23+'Consolidated P&amp;L'!S23+'Consolidated P&amp;L'!T23+'Consolidated P&amp;L'!U23+'Consolidated P&amp;L'!V23+'Consolidated P&amp;L'!W23+'Consolidated P&amp;L'!X23+'Consolidated P&amp;L'!Y23+'Consolidated P&amp;L'!Z23)*12/12</f>
        <v/>
      </c>
      <c r="AA24" s="156">
        <f>('Consolidated P&amp;L'!P23+'Consolidated P&amp;L'!Q23+'Consolidated P&amp;L'!R23+'Consolidated P&amp;L'!S23+'Consolidated P&amp;L'!T23+'Consolidated P&amp;L'!U23+'Consolidated P&amp;L'!V23+'Consolidated P&amp;L'!W23+'Consolidated P&amp;L'!X23+'Consolidated P&amp;L'!Y23+'Consolidated P&amp;L'!Z23+'Consolidated P&amp;L'!AA23)*12/12</f>
        <v/>
      </c>
      <c r="AB24" s="156">
        <f>('Consolidated P&amp;L'!Q23+'Consolidated P&amp;L'!R23+'Consolidated P&amp;L'!S23+'Consolidated P&amp;L'!T23+'Consolidated P&amp;L'!U23+'Consolidated P&amp;L'!V23+'Consolidated P&amp;L'!W23+'Consolidated P&amp;L'!X23+'Consolidated P&amp;L'!Y23+'Consolidated P&amp;L'!Z23+'Consolidated P&amp;L'!AA23+'Consolidated P&amp;L'!AB23)*12/12</f>
        <v/>
      </c>
      <c r="AC24" s="156">
        <f>('Consolidated P&amp;L'!R23+'Consolidated P&amp;L'!S23+'Consolidated P&amp;L'!T23+'Consolidated P&amp;L'!U23+'Consolidated P&amp;L'!V23+'Consolidated P&amp;L'!W23+'Consolidated P&amp;L'!X23+'Consolidated P&amp;L'!Y23+'Consolidated P&amp;L'!Z23+'Consolidated P&amp;L'!AA23+'Consolidated P&amp;L'!AB23+'Consolidated P&amp;L'!AC23)*12/12</f>
        <v/>
      </c>
      <c r="AD24" s="156">
        <f>('Consolidated P&amp;L'!S23+'Consolidated P&amp;L'!T23+'Consolidated P&amp;L'!U23+'Consolidated P&amp;L'!V23+'Consolidated P&amp;L'!W23+'Consolidated P&amp;L'!X23+'Consolidated P&amp;L'!Y23+'Consolidated P&amp;L'!Z23+'Consolidated P&amp;L'!AA23+'Consolidated P&amp;L'!AB23+'Consolidated P&amp;L'!AC23+'Consolidated P&amp;L'!AD23)*12/12</f>
        <v/>
      </c>
      <c r="AE24" s="156">
        <f>('Consolidated P&amp;L'!T23+'Consolidated P&amp;L'!U23+'Consolidated P&amp;L'!V23+'Consolidated P&amp;L'!W23+'Consolidated P&amp;L'!X23+'Consolidated P&amp;L'!Y23+'Consolidated P&amp;L'!Z23+'Consolidated P&amp;L'!AA23+'Consolidated P&amp;L'!AB23+'Consolidated P&amp;L'!AC23+'Consolidated P&amp;L'!AD23+'Consolidated P&amp;L'!AE23)*12/12</f>
        <v/>
      </c>
      <c r="AF24" s="156">
        <f>('Consolidated P&amp;L'!U23+'Consolidated P&amp;L'!V23+'Consolidated P&amp;L'!W23+'Consolidated P&amp;L'!X23+'Consolidated P&amp;L'!Y23+'Consolidated P&amp;L'!Z23+'Consolidated P&amp;L'!AA23+'Consolidated P&amp;L'!AB23+'Consolidated P&amp;L'!AC23+'Consolidated P&amp;L'!AD23+'Consolidated P&amp;L'!AE23+'Consolidated P&amp;L'!AF23)*12/12</f>
        <v/>
      </c>
      <c r="AG24" s="156">
        <f>('Consolidated P&amp;L'!V23+'Consolidated P&amp;L'!W23+'Consolidated P&amp;L'!X23+'Consolidated P&amp;L'!Y23+'Consolidated P&amp;L'!Z23+'Consolidated P&amp;L'!AA23+'Consolidated P&amp;L'!AB23+'Consolidated P&amp;L'!AC23+'Consolidated P&amp;L'!AD23+'Consolidated P&amp;L'!AE23+'Consolidated P&amp;L'!AF23+'Consolidated P&amp;L'!AG23)*12/12</f>
        <v/>
      </c>
      <c r="AH24" s="156">
        <f>('Consolidated P&amp;L'!W23+'Consolidated P&amp;L'!X23+'Consolidated P&amp;L'!Y23+'Consolidated P&amp;L'!Z23+'Consolidated P&amp;L'!AA23+'Consolidated P&amp;L'!AB23+'Consolidated P&amp;L'!AC23+'Consolidated P&amp;L'!AD23+'Consolidated P&amp;L'!AE23+'Consolidated P&amp;L'!AF23+'Consolidated P&amp;L'!AG23+'Consolidated P&amp;L'!AH23)*12/12</f>
        <v/>
      </c>
      <c r="AI24" s="156">
        <f>('Consolidated P&amp;L'!X23+'Consolidated P&amp;L'!Y23+'Consolidated P&amp;L'!Z23+'Consolidated P&amp;L'!AA23+'Consolidated P&amp;L'!AB23+'Consolidated P&amp;L'!AC23+'Consolidated P&amp;L'!AD23+'Consolidated P&amp;L'!AE23+'Consolidated P&amp;L'!AF23+'Consolidated P&amp;L'!AG23+'Consolidated P&amp;L'!AH23+'Consolidated P&amp;L'!AI23)*12/12</f>
        <v/>
      </c>
      <c r="AJ24" s="156">
        <f>('Consolidated P&amp;L'!Y23+'Consolidated P&amp;L'!Z23+'Consolidated P&amp;L'!AA23+'Consolidated P&amp;L'!AB23+'Consolidated P&amp;L'!AC23+'Consolidated P&amp;L'!AD23+'Consolidated P&amp;L'!AE23+'Consolidated P&amp;L'!AF23+'Consolidated P&amp;L'!AG23+'Consolidated P&amp;L'!AH23+'Consolidated P&amp;L'!AI23+'Consolidated P&amp;L'!AJ23)*12/12</f>
        <v/>
      </c>
      <c r="AK24" s="156">
        <f>('Consolidated P&amp;L'!Z23+'Consolidated P&amp;L'!AA23+'Consolidated P&amp;L'!AB23+'Consolidated P&amp;L'!AC23+'Consolidated P&amp;L'!AD23+'Consolidated P&amp;L'!AE23+'Consolidated P&amp;L'!AF23+'Consolidated P&amp;L'!AG23+'Consolidated P&amp;L'!AH23+'Consolidated P&amp;L'!AI23+'Consolidated P&amp;L'!AJ23+'Consolidated P&amp;L'!AK23)*12/12</f>
        <v/>
      </c>
      <c r="AL24" s="156">
        <f>('Consolidated P&amp;L'!AA23+'Consolidated P&amp;L'!AB23+'Consolidated P&amp;L'!AC23+'Consolidated P&amp;L'!AD23+'Consolidated P&amp;L'!AE23+'Consolidated P&amp;L'!AF23+'Consolidated P&amp;L'!AG23+'Consolidated P&amp;L'!AH23+'Consolidated P&amp;L'!AI23+'Consolidated P&amp;L'!AJ23+'Consolidated P&amp;L'!AK23+'Consolidated P&amp;L'!AL23)*12/12</f>
        <v/>
      </c>
      <c r="AM24" s="156">
        <f>('Consolidated P&amp;L'!AB23+'Consolidated P&amp;L'!AC23+'Consolidated P&amp;L'!AD23+'Consolidated P&amp;L'!AE23+'Consolidated P&amp;L'!AF23+'Consolidated P&amp;L'!AG23+'Consolidated P&amp;L'!AH23+'Consolidated P&amp;L'!AI23+'Consolidated P&amp;L'!AJ23+'Consolidated P&amp;L'!AK23+'Consolidated P&amp;L'!AL23+'Consolidated P&amp;L'!AM23)*12/12</f>
        <v/>
      </c>
      <c r="AN24" s="156">
        <f>('Consolidated P&amp;L'!AC23+'Consolidated P&amp;L'!AD23+'Consolidated P&amp;L'!AE23+'Consolidated P&amp;L'!AF23+'Consolidated P&amp;L'!AG23+'Consolidated P&amp;L'!AH23+'Consolidated P&amp;L'!AI23+'Consolidated P&amp;L'!AJ23+'Consolidated P&amp;L'!AK23+'Consolidated P&amp;L'!AL23+'Consolidated P&amp;L'!AM23+'Consolidated P&amp;L'!AN23)*12/12</f>
        <v/>
      </c>
      <c r="AO24" s="156">
        <f>('Consolidated P&amp;L'!AD23+'Consolidated P&amp;L'!AE23+'Consolidated P&amp;L'!AF23+'Consolidated P&amp;L'!AG23+'Consolidated P&amp;L'!AH23+'Consolidated P&amp;L'!AI23+'Consolidated P&amp;L'!AJ23+'Consolidated P&amp;L'!AK23+'Consolidated P&amp;L'!AL23+'Consolidated P&amp;L'!AM23+'Consolidated P&amp;L'!AN23+'Consolidated P&amp;L'!AO23)*12/12</f>
        <v/>
      </c>
      <c r="AP24" s="156">
        <f>('Consolidated P&amp;L'!AE23+'Consolidated P&amp;L'!AF23+'Consolidated P&amp;L'!AG23+'Consolidated P&amp;L'!AH23+'Consolidated P&amp;L'!AI23+'Consolidated P&amp;L'!AJ23+'Consolidated P&amp;L'!AK23+'Consolidated P&amp;L'!AL23+'Consolidated P&amp;L'!AM23+'Consolidated P&amp;L'!AN23+'Consolidated P&amp;L'!AO23+'Consolidated P&amp;L'!AP23)*12/12</f>
        <v/>
      </c>
      <c r="AQ24" s="156">
        <f>('Consolidated P&amp;L'!AF23+'Consolidated P&amp;L'!AG23+'Consolidated P&amp;L'!AH23+'Consolidated P&amp;L'!AI23+'Consolidated P&amp;L'!AJ23+'Consolidated P&amp;L'!AK23+'Consolidated P&amp;L'!AL23+'Consolidated P&amp;L'!AM23+'Consolidated P&amp;L'!AN23+'Consolidated P&amp;L'!AO23+'Consolidated P&amp;L'!AP23+'Consolidated P&amp;L'!AQ23)*12/12</f>
        <v/>
      </c>
      <c r="AR24" s="156">
        <f>('Consolidated P&amp;L'!AG23+'Consolidated P&amp;L'!AH23+'Consolidated P&amp;L'!AI23+'Consolidated P&amp;L'!AJ23+'Consolidated P&amp;L'!AK23+'Consolidated P&amp;L'!AL23+'Consolidated P&amp;L'!AM23+'Consolidated P&amp;L'!AN23+'Consolidated P&amp;L'!AO23+'Consolidated P&amp;L'!AP23+'Consolidated P&amp;L'!AQ23+'Consolidated P&amp;L'!AR23)*12/12</f>
        <v/>
      </c>
      <c r="AS24" s="156">
        <f>('Consolidated P&amp;L'!AH23+'Consolidated P&amp;L'!AI23+'Consolidated P&amp;L'!AJ23+'Consolidated P&amp;L'!AK23+'Consolidated P&amp;L'!AL23+'Consolidated P&amp;L'!AM23+'Consolidated P&amp;L'!AN23+'Consolidated P&amp;L'!AO23+'Consolidated P&amp;L'!AP23+'Consolidated P&amp;L'!AQ23+'Consolidated P&amp;L'!AR23+'Consolidated P&amp;L'!AS23)*12/12</f>
        <v/>
      </c>
      <c r="AT24" s="156">
        <f>('Consolidated P&amp;L'!AI23+'Consolidated P&amp;L'!AJ23+'Consolidated P&amp;L'!AK23+'Consolidated P&amp;L'!AL23+'Consolidated P&amp;L'!AM23+'Consolidated P&amp;L'!AN23+'Consolidated P&amp;L'!AO23+'Consolidated P&amp;L'!AP23+'Consolidated P&amp;L'!AQ23+'Consolidated P&amp;L'!AR23+'Consolidated P&amp;L'!AS23+'Consolidated P&amp;L'!AT23)*12/12</f>
        <v/>
      </c>
      <c r="AU24" s="156">
        <f>('Consolidated P&amp;L'!AJ23+'Consolidated P&amp;L'!AK23+'Consolidated P&amp;L'!AL23+'Consolidated P&amp;L'!AM23+'Consolidated P&amp;L'!AN23+'Consolidated P&amp;L'!AO23+'Consolidated P&amp;L'!AP23+'Consolidated P&amp;L'!AQ23+'Consolidated P&amp;L'!AR23+'Consolidated P&amp;L'!AS23+'Consolidated P&amp;L'!AT23+'Consolidated P&amp;L'!AU23)*12/12</f>
        <v/>
      </c>
      <c r="AV24" s="156">
        <f>('Consolidated P&amp;L'!AK23+'Consolidated P&amp;L'!AL23+'Consolidated P&amp;L'!AM23+'Consolidated P&amp;L'!AN23+'Consolidated P&amp;L'!AO23+'Consolidated P&amp;L'!AP23+'Consolidated P&amp;L'!AQ23+'Consolidated P&amp;L'!AR23+'Consolidated P&amp;L'!AS23+'Consolidated P&amp;L'!AT23+'Consolidated P&amp;L'!AU23+'Consolidated P&amp;L'!AV23)*12/12</f>
        <v/>
      </c>
      <c r="AW24" s="156">
        <f>('Consolidated P&amp;L'!AL23+'Consolidated P&amp;L'!AM23+'Consolidated P&amp;L'!AN23+'Consolidated P&amp;L'!AO23+'Consolidated P&amp;L'!AP23+'Consolidated P&amp;L'!AQ23+'Consolidated P&amp;L'!AR23+'Consolidated P&amp;L'!AS23+'Consolidated P&amp;L'!AT23+'Consolidated P&amp;L'!AU23+'Consolidated P&amp;L'!AV23+'Consolidated P&amp;L'!AW23)*12/12</f>
        <v/>
      </c>
      <c r="AX24" s="156">
        <f>('Consolidated P&amp;L'!AM23+'Consolidated P&amp;L'!AN23+'Consolidated P&amp;L'!AO23+'Consolidated P&amp;L'!AP23+'Consolidated P&amp;L'!AQ23+'Consolidated P&amp;L'!AR23+'Consolidated P&amp;L'!AS23+'Consolidated P&amp;L'!AT23+'Consolidated P&amp;L'!AU23+'Consolidated P&amp;L'!AV23+'Consolidated P&amp;L'!AW23+'Consolidated P&amp;L'!AX23)*12/12</f>
        <v/>
      </c>
      <c r="AY24" s="156">
        <f>('Consolidated P&amp;L'!AN23+'Consolidated P&amp;L'!AO23+'Consolidated P&amp;L'!AP23+'Consolidated P&amp;L'!AQ23+'Consolidated P&amp;L'!AR23+'Consolidated P&amp;L'!AS23+'Consolidated P&amp;L'!AT23+'Consolidated P&amp;L'!AU23+'Consolidated P&amp;L'!AV23+'Consolidated P&amp;L'!AW23+'Consolidated P&amp;L'!AX23+'Consolidated P&amp;L'!AY23)*12/12</f>
        <v/>
      </c>
      <c r="AZ24" s="156">
        <f>('Consolidated P&amp;L'!AO23+'Consolidated P&amp;L'!AP23+'Consolidated P&amp;L'!AQ23+'Consolidated P&amp;L'!AR23+'Consolidated P&amp;L'!AS23+'Consolidated P&amp;L'!AT23+'Consolidated P&amp;L'!AU23+'Consolidated P&amp;L'!AV23+'Consolidated P&amp;L'!AW23+'Consolidated P&amp;L'!AX23+'Consolidated P&amp;L'!AY23+'Consolidated P&amp;L'!AZ23)*12/12</f>
        <v/>
      </c>
      <c r="BA24" s="156">
        <f>('Consolidated P&amp;L'!AP23+'Consolidated P&amp;L'!AQ23+'Consolidated P&amp;L'!AR23+'Consolidated P&amp;L'!AS23+'Consolidated P&amp;L'!AT23+'Consolidated P&amp;L'!AU23+'Consolidated P&amp;L'!AV23+'Consolidated P&amp;L'!AW23+'Consolidated P&amp;L'!AX23+'Consolidated P&amp;L'!AY23+'Consolidated P&amp;L'!AZ23+'Consolidated P&amp;L'!BA23)*12/12</f>
        <v/>
      </c>
      <c r="BB24" s="156">
        <f>('Consolidated P&amp;L'!AQ23+'Consolidated P&amp;L'!AR23+'Consolidated P&amp;L'!AS23+'Consolidated P&amp;L'!AT23+'Consolidated P&amp;L'!AU23+'Consolidated P&amp;L'!AV23+'Consolidated P&amp;L'!AW23+'Consolidated P&amp;L'!AX23+'Consolidated P&amp;L'!AY23+'Consolidated P&amp;L'!AZ23+'Consolidated P&amp;L'!BA23+'Consolidated P&amp;L'!BB23)*12/12</f>
        <v/>
      </c>
      <c r="BC24" s="156">
        <f>('Consolidated P&amp;L'!AR23+'Consolidated P&amp;L'!AS23+'Consolidated P&amp;L'!AT23+'Consolidated P&amp;L'!AU23+'Consolidated P&amp;L'!AV23+'Consolidated P&amp;L'!AW23+'Consolidated P&amp;L'!AX23+'Consolidated P&amp;L'!AY23+'Consolidated P&amp;L'!AZ23+'Consolidated P&amp;L'!BA23+'Consolidated P&amp;L'!BB23+'Consolidated P&amp;L'!BC23)*12/12</f>
        <v/>
      </c>
      <c r="BD24" s="156">
        <f>('Consolidated P&amp;L'!AS23+'Consolidated P&amp;L'!AT23+'Consolidated P&amp;L'!AU23+'Consolidated P&amp;L'!AV23+'Consolidated P&amp;L'!AW23+'Consolidated P&amp;L'!AX23+'Consolidated P&amp;L'!AY23+'Consolidated P&amp;L'!AZ23+'Consolidated P&amp;L'!BA23+'Consolidated P&amp;L'!BB23+'Consolidated P&amp;L'!BC23+'Consolidated P&amp;L'!BD23)*12/12</f>
        <v/>
      </c>
      <c r="BE24" s="156">
        <f>('Consolidated P&amp;L'!AT23+'Consolidated P&amp;L'!AU23+'Consolidated P&amp;L'!AV23+'Consolidated P&amp;L'!AW23+'Consolidated P&amp;L'!AX23+'Consolidated P&amp;L'!AY23+'Consolidated P&amp;L'!AZ23+'Consolidated P&amp;L'!BA23+'Consolidated P&amp;L'!BB23+'Consolidated P&amp;L'!BC23+'Consolidated P&amp;L'!BD23+'Consolidated P&amp;L'!BE23)*12/12</f>
        <v/>
      </c>
      <c r="BF24" s="156">
        <f>('Consolidated P&amp;L'!AU23+'Consolidated P&amp;L'!AV23+'Consolidated P&amp;L'!AW23+'Consolidated P&amp;L'!AX23+'Consolidated P&amp;L'!AY23+'Consolidated P&amp;L'!AZ23+'Consolidated P&amp;L'!BA23+'Consolidated P&amp;L'!BB23+'Consolidated P&amp;L'!BC23+'Consolidated P&amp;L'!BD23+'Consolidated P&amp;L'!BE23+'Consolidated P&amp;L'!BF23)*12/12</f>
        <v/>
      </c>
      <c r="BG24" s="156">
        <f>('Consolidated P&amp;L'!AV23+'Consolidated P&amp;L'!AW23+'Consolidated P&amp;L'!AX23+'Consolidated P&amp;L'!AY23+'Consolidated P&amp;L'!AZ23+'Consolidated P&amp;L'!BA23+'Consolidated P&amp;L'!BB23+'Consolidated P&amp;L'!BC23+'Consolidated P&amp;L'!BD23+'Consolidated P&amp;L'!BE23+'Consolidated P&amp;L'!BF23+'Consolidated P&amp;L'!BG23)*12/12</f>
        <v/>
      </c>
      <c r="BH24" s="156">
        <f>('Consolidated P&amp;L'!AW23+'Consolidated P&amp;L'!AX23+'Consolidated P&amp;L'!AY23+'Consolidated P&amp;L'!AZ23+'Consolidated P&amp;L'!BA23+'Consolidated P&amp;L'!BB23+'Consolidated P&amp;L'!BC23+'Consolidated P&amp;L'!BD23+'Consolidated P&amp;L'!BE23+'Consolidated P&amp;L'!BF23+'Consolidated P&amp;L'!BG23+'Consolidated P&amp;L'!BH23)*12/12</f>
        <v/>
      </c>
      <c r="BI24" s="156">
        <f>('Consolidated P&amp;L'!AX23+'Consolidated P&amp;L'!AY23+'Consolidated P&amp;L'!AZ23+'Consolidated P&amp;L'!BA23+'Consolidated P&amp;L'!BB23+'Consolidated P&amp;L'!BC23+'Consolidated P&amp;L'!BD23+'Consolidated P&amp;L'!BE23+'Consolidated P&amp;L'!BF23+'Consolidated P&amp;L'!BG23+'Consolidated P&amp;L'!BH23+'Consolidated P&amp;L'!BI23)*12/12</f>
        <v/>
      </c>
      <c r="BJ24" s="156">
        <f>('Consolidated P&amp;L'!AY23+'Consolidated P&amp;L'!AZ23+'Consolidated P&amp;L'!BA23+'Consolidated P&amp;L'!BB23+'Consolidated P&amp;L'!BC23+'Consolidated P&amp;L'!BD23+'Consolidated P&amp;L'!BE23+'Consolidated P&amp;L'!BF23+'Consolidated P&amp;L'!BG23+'Consolidated P&amp;L'!BH23+'Consolidated P&amp;L'!BI23+'Consolidated P&amp;L'!BJ23)*12/12</f>
        <v/>
      </c>
      <c r="BL24" s="157">
        <f>N24</f>
        <v/>
      </c>
      <c r="BM24" s="157">
        <f>Z24</f>
        <v/>
      </c>
      <c r="BN24" s="157">
        <f>AL24</f>
        <v/>
      </c>
      <c r="BO24" s="157">
        <f>AX24</f>
        <v/>
      </c>
      <c r="BP24" s="157">
        <f>BJ24</f>
        <v/>
      </c>
    </row>
    <row r="25" ht="15" customHeight="1" s="104">
      <c r="A25" s="107" t="inlineStr">
        <is>
          <t>Max Debt Capacity (LTM EBITDA x 3.0x)</t>
        </is>
      </c>
      <c r="C25" s="156">
        <f>C24*Assumptions!B8</f>
        <v/>
      </c>
      <c r="D25" s="156">
        <f>D24*Assumptions!B8</f>
        <v/>
      </c>
      <c r="E25" s="156">
        <f>E24*Assumptions!B8</f>
        <v/>
      </c>
      <c r="F25" s="156">
        <f>F24*Assumptions!B8</f>
        <v/>
      </c>
      <c r="G25" s="156">
        <f>G24*Assumptions!B8</f>
        <v/>
      </c>
      <c r="H25" s="156">
        <f>H24*Assumptions!B8</f>
        <v/>
      </c>
      <c r="I25" s="156">
        <f>I24*Assumptions!B8</f>
        <v/>
      </c>
      <c r="J25" s="156">
        <f>J24*Assumptions!B8</f>
        <v/>
      </c>
      <c r="K25" s="156">
        <f>K24*Assumptions!B8</f>
        <v/>
      </c>
      <c r="L25" s="156">
        <f>L24*Assumptions!B8</f>
        <v/>
      </c>
      <c r="M25" s="156">
        <f>M24*Assumptions!B8</f>
        <v/>
      </c>
      <c r="N25" s="156">
        <f>N24*Assumptions!B8</f>
        <v/>
      </c>
      <c r="O25" s="156">
        <f>O24*Assumptions!B8</f>
        <v/>
      </c>
      <c r="P25" s="156">
        <f>P24*Assumptions!B8</f>
        <v/>
      </c>
      <c r="Q25" s="156">
        <f>Q24*Assumptions!B8</f>
        <v/>
      </c>
      <c r="R25" s="156">
        <f>R24*Assumptions!B8</f>
        <v/>
      </c>
      <c r="S25" s="156">
        <f>S24*Assumptions!B8</f>
        <v/>
      </c>
      <c r="T25" s="156">
        <f>T24*Assumptions!B8</f>
        <v/>
      </c>
      <c r="U25" s="156">
        <f>U24*Assumptions!B8</f>
        <v/>
      </c>
      <c r="V25" s="156">
        <f>V24*Assumptions!B8</f>
        <v/>
      </c>
      <c r="W25" s="156">
        <f>W24*Assumptions!B8</f>
        <v/>
      </c>
      <c r="X25" s="156">
        <f>X24*Assumptions!B8</f>
        <v/>
      </c>
      <c r="Y25" s="156">
        <f>Y24*Assumptions!B8</f>
        <v/>
      </c>
      <c r="Z25" s="156">
        <f>Z24*Assumptions!B8</f>
        <v/>
      </c>
      <c r="AA25" s="156">
        <f>AA24*Assumptions!B8</f>
        <v/>
      </c>
      <c r="AB25" s="156">
        <f>AB24*Assumptions!B8</f>
        <v/>
      </c>
      <c r="AC25" s="156">
        <f>AC24*Assumptions!B8</f>
        <v/>
      </c>
      <c r="AD25" s="156">
        <f>AD24*Assumptions!B8</f>
        <v/>
      </c>
      <c r="AE25" s="156">
        <f>AE24*Assumptions!B8</f>
        <v/>
      </c>
      <c r="AF25" s="156">
        <f>AF24*Assumptions!B8</f>
        <v/>
      </c>
      <c r="AG25" s="156">
        <f>AG24*Assumptions!B8</f>
        <v/>
      </c>
      <c r="AH25" s="156">
        <f>AH24*Assumptions!B8</f>
        <v/>
      </c>
      <c r="AI25" s="156">
        <f>AI24*Assumptions!B8</f>
        <v/>
      </c>
      <c r="AJ25" s="156">
        <f>AJ24*Assumptions!B8</f>
        <v/>
      </c>
      <c r="AK25" s="156">
        <f>AK24*Assumptions!B8</f>
        <v/>
      </c>
      <c r="AL25" s="156">
        <f>AL24*Assumptions!B8</f>
        <v/>
      </c>
      <c r="AM25" s="156">
        <f>AM24*Assumptions!B8</f>
        <v/>
      </c>
      <c r="AN25" s="156">
        <f>AN24*Assumptions!B8</f>
        <v/>
      </c>
      <c r="AO25" s="156">
        <f>AO24*Assumptions!B8</f>
        <v/>
      </c>
      <c r="AP25" s="156">
        <f>AP24*Assumptions!B8</f>
        <v/>
      </c>
      <c r="AQ25" s="156">
        <f>AQ24*Assumptions!B8</f>
        <v/>
      </c>
      <c r="AR25" s="156">
        <f>AR24*Assumptions!B8</f>
        <v/>
      </c>
      <c r="AS25" s="156">
        <f>AS24*Assumptions!B8</f>
        <v/>
      </c>
      <c r="AT25" s="156">
        <f>AT24*Assumptions!B8</f>
        <v/>
      </c>
      <c r="AU25" s="156">
        <f>AU24*Assumptions!B8</f>
        <v/>
      </c>
      <c r="AV25" s="156">
        <f>AV24*Assumptions!B8</f>
        <v/>
      </c>
      <c r="AW25" s="156">
        <f>AW24*Assumptions!B8</f>
        <v/>
      </c>
      <c r="AX25" s="156">
        <f>AX24*Assumptions!B8</f>
        <v/>
      </c>
      <c r="AY25" s="156">
        <f>AY24*Assumptions!B8</f>
        <v/>
      </c>
      <c r="AZ25" s="156">
        <f>AZ24*Assumptions!B8</f>
        <v/>
      </c>
      <c r="BA25" s="156">
        <f>BA24*Assumptions!B8</f>
        <v/>
      </c>
      <c r="BB25" s="156">
        <f>BB24*Assumptions!B8</f>
        <v/>
      </c>
      <c r="BC25" s="156">
        <f>BC24*Assumptions!B8</f>
        <v/>
      </c>
      <c r="BD25" s="156">
        <f>BD24*Assumptions!B8</f>
        <v/>
      </c>
      <c r="BE25" s="156">
        <f>BE24*Assumptions!B8</f>
        <v/>
      </c>
      <c r="BF25" s="156">
        <f>BF24*Assumptions!B8</f>
        <v/>
      </c>
      <c r="BG25" s="156">
        <f>BG24*Assumptions!B8</f>
        <v/>
      </c>
      <c r="BH25" s="156">
        <f>BH24*Assumptions!B8</f>
        <v/>
      </c>
      <c r="BI25" s="156">
        <f>BI24*Assumptions!B8</f>
        <v/>
      </c>
      <c r="BJ25" s="156">
        <f>BJ24*Assumptions!B8</f>
        <v/>
      </c>
      <c r="BL25" s="157">
        <f>N25</f>
        <v/>
      </c>
      <c r="BM25" s="157">
        <f>Z25</f>
        <v/>
      </c>
      <c r="BN25" s="157">
        <f>AL25</f>
        <v/>
      </c>
      <c r="BO25" s="157">
        <f>AX25</f>
        <v/>
      </c>
      <c r="BP25" s="157">
        <f>BJ25</f>
        <v/>
      </c>
    </row>
    <row r="26" ht="15" customHeight="1" s="104">
      <c r="A26" s="107" t="inlineStr">
        <is>
          <t>Available Debt Capacity (Max - Ending Balance)</t>
        </is>
      </c>
      <c r="C26" s="156">
        <f>MAX(0,C25-C19)</f>
        <v/>
      </c>
      <c r="D26" s="156">
        <f>MAX(0,D25-D19)</f>
        <v/>
      </c>
      <c r="E26" s="156">
        <f>MAX(0,E25-E19)</f>
        <v/>
      </c>
      <c r="F26" s="156">
        <f>MAX(0,F25-F19)</f>
        <v/>
      </c>
      <c r="G26" s="156">
        <f>MAX(0,G25-G19)</f>
        <v/>
      </c>
      <c r="H26" s="156">
        <f>MAX(0,H25-H19)</f>
        <v/>
      </c>
      <c r="I26" s="156">
        <f>MAX(0,I25-I19)</f>
        <v/>
      </c>
      <c r="J26" s="156">
        <f>MAX(0,J25-J19)</f>
        <v/>
      </c>
      <c r="K26" s="156">
        <f>MAX(0,K25-K19)</f>
        <v/>
      </c>
      <c r="L26" s="156">
        <f>MAX(0,L25-L19)</f>
        <v/>
      </c>
      <c r="M26" s="156">
        <f>MAX(0,M25-M19)</f>
        <v/>
      </c>
      <c r="N26" s="156">
        <f>MAX(0,N25-N19)</f>
        <v/>
      </c>
      <c r="O26" s="156">
        <f>MAX(0,O25-O19)</f>
        <v/>
      </c>
      <c r="P26" s="156">
        <f>MAX(0,P25-P19)</f>
        <v/>
      </c>
      <c r="Q26" s="156">
        <f>MAX(0,Q25-Q19)</f>
        <v/>
      </c>
      <c r="R26" s="156">
        <f>MAX(0,R25-R19)</f>
        <v/>
      </c>
      <c r="S26" s="156">
        <f>MAX(0,S25-S19)</f>
        <v/>
      </c>
      <c r="T26" s="156">
        <f>MAX(0,T25-T19)</f>
        <v/>
      </c>
      <c r="U26" s="156">
        <f>MAX(0,U25-U19)</f>
        <v/>
      </c>
      <c r="V26" s="156">
        <f>MAX(0,V25-V19)</f>
        <v/>
      </c>
      <c r="W26" s="156">
        <f>MAX(0,W25-W19)</f>
        <v/>
      </c>
      <c r="X26" s="156">
        <f>MAX(0,X25-X19)</f>
        <v/>
      </c>
      <c r="Y26" s="156">
        <f>MAX(0,Y25-Y19)</f>
        <v/>
      </c>
      <c r="Z26" s="156">
        <f>MAX(0,Z25-Z19)</f>
        <v/>
      </c>
      <c r="AA26" s="156">
        <f>MAX(0,AA25-AA19)</f>
        <v/>
      </c>
      <c r="AB26" s="156">
        <f>MAX(0,AB25-AB19)</f>
        <v/>
      </c>
      <c r="AC26" s="156">
        <f>MAX(0,AC25-AC19)</f>
        <v/>
      </c>
      <c r="AD26" s="156">
        <f>MAX(0,AD25-AD19)</f>
        <v/>
      </c>
      <c r="AE26" s="156">
        <f>MAX(0,AE25-AE19)</f>
        <v/>
      </c>
      <c r="AF26" s="156">
        <f>MAX(0,AF25-AF19)</f>
        <v/>
      </c>
      <c r="AG26" s="156">
        <f>MAX(0,AG25-AG19)</f>
        <v/>
      </c>
      <c r="AH26" s="156">
        <f>MAX(0,AH25-AH19)</f>
        <v/>
      </c>
      <c r="AI26" s="156">
        <f>MAX(0,AI25-AI19)</f>
        <v/>
      </c>
      <c r="AJ26" s="156">
        <f>MAX(0,AJ25-AJ19)</f>
        <v/>
      </c>
      <c r="AK26" s="156">
        <f>MAX(0,AK25-AK19)</f>
        <v/>
      </c>
      <c r="AL26" s="156">
        <f>MAX(0,AL25-AL19)</f>
        <v/>
      </c>
      <c r="AM26" s="156">
        <f>MAX(0,AM25-AM19)</f>
        <v/>
      </c>
      <c r="AN26" s="156">
        <f>MAX(0,AN25-AN19)</f>
        <v/>
      </c>
      <c r="AO26" s="156">
        <f>MAX(0,AO25-AO19)</f>
        <v/>
      </c>
      <c r="AP26" s="156">
        <f>MAX(0,AP25-AP19)</f>
        <v/>
      </c>
      <c r="AQ26" s="156">
        <f>MAX(0,AQ25-AQ19)</f>
        <v/>
      </c>
      <c r="AR26" s="156">
        <f>MAX(0,AR25-AR19)</f>
        <v/>
      </c>
      <c r="AS26" s="156">
        <f>MAX(0,AS25-AS19)</f>
        <v/>
      </c>
      <c r="AT26" s="156">
        <f>MAX(0,AT25-AT19)</f>
        <v/>
      </c>
      <c r="AU26" s="156">
        <f>MAX(0,AU25-AU19)</f>
        <v/>
      </c>
      <c r="AV26" s="156">
        <f>MAX(0,AV25-AV19)</f>
        <v/>
      </c>
      <c r="AW26" s="156">
        <f>MAX(0,AW25-AW19)</f>
        <v/>
      </c>
      <c r="AX26" s="156">
        <f>MAX(0,AX25-AX19)</f>
        <v/>
      </c>
      <c r="AY26" s="156">
        <f>MAX(0,AY25-AY19)</f>
        <v/>
      </c>
      <c r="AZ26" s="156">
        <f>MAX(0,AZ25-AZ19)</f>
        <v/>
      </c>
      <c r="BA26" s="156">
        <f>MAX(0,BA25-BA19)</f>
        <v/>
      </c>
      <c r="BB26" s="156">
        <f>MAX(0,BB25-BB19)</f>
        <v/>
      </c>
      <c r="BC26" s="156">
        <f>MAX(0,BC25-BC19)</f>
        <v/>
      </c>
      <c r="BD26" s="156">
        <f>MAX(0,BD25-BD19)</f>
        <v/>
      </c>
      <c r="BE26" s="156">
        <f>MAX(0,BE25-BE19)</f>
        <v/>
      </c>
      <c r="BF26" s="156">
        <f>MAX(0,BF25-BF19)</f>
        <v/>
      </c>
      <c r="BG26" s="156">
        <f>MAX(0,BG25-BG19)</f>
        <v/>
      </c>
      <c r="BH26" s="156">
        <f>MAX(0,BH25-BH19)</f>
        <v/>
      </c>
      <c r="BI26" s="156">
        <f>MAX(0,BI25-BI19)</f>
        <v/>
      </c>
      <c r="BJ26" s="156">
        <f>MAX(0,BJ25-BJ19)</f>
        <v/>
      </c>
      <c r="BL26" s="157">
        <f>N26</f>
        <v/>
      </c>
      <c r="BM26" s="157">
        <f>Z26</f>
        <v/>
      </c>
      <c r="BN26" s="157">
        <f>AL26</f>
        <v/>
      </c>
      <c r="BO26" s="157">
        <f>AX26</f>
        <v/>
      </c>
      <c r="BP26" s="157">
        <f>BJ26</f>
        <v/>
      </c>
    </row>
    <row r="28" ht="15" customHeight="1" s="104">
      <c r="A28" s="106" t="inlineStr">
        <is>
          <t>ADD-ON EQUITY CONTRIBUTIONS (TEV - Debt Draw)</t>
        </is>
      </c>
    </row>
    <row r="29" ht="15" customHeight="1" s="104">
      <c r="A29" s="107" t="inlineStr">
        <is>
          <t xml:space="preserve">    Add-On 1 Equity Contribution</t>
        </is>
      </c>
      <c r="C29" s="156">
        <f>IF(AND(Assumptions!B51&lt;&gt;"",IFERROR(DATEVALUE(TEXT(Assumptions!B51,"MM/DD/YYYY")),0)&gt;=DATE(2026,10,1),IFERROR(DATEVALUE(TEXT(Assumptions!B51,"MM/DD/YYYY")),0)&lt;=DATE(2026,10,31)),MAX(0,Assumptions!G51-C7),0)</f>
        <v/>
      </c>
      <c r="D29" s="156">
        <f>IF(AND(Assumptions!B51&lt;&gt;"",IFERROR(DATEVALUE(TEXT(Assumptions!B51,"MM/DD/YYYY")),0)&gt;=DATE(2026,11,1),IFERROR(DATEVALUE(TEXT(Assumptions!B51,"MM/DD/YYYY")),0)&lt;=DATE(2026,11,30)),MAX(0,Assumptions!G51-D7),0)</f>
        <v/>
      </c>
      <c r="E29" s="156">
        <f>IF(AND(Assumptions!B51&lt;&gt;"",IFERROR(DATEVALUE(TEXT(Assumptions!B51,"MM/DD/YYYY")),0)&gt;=DATE(2026,12,1),IFERROR(DATEVALUE(TEXT(Assumptions!B51,"MM/DD/YYYY")),0)&lt;=DATE(2026,12,31)),MAX(0,Assumptions!G51-E7),0)</f>
        <v/>
      </c>
      <c r="F29" s="221" t="n">
        <v>3.7827596906839</v>
      </c>
      <c r="G29" s="156">
        <f>IF(AND(Assumptions!B51&lt;&gt;"",IFERROR(DATEVALUE(TEXT(Assumptions!B51,"MM/DD/YYYY")),0)&gt;=DATE(2027,2,1),IFERROR(DATEVALUE(TEXT(Assumptions!B51,"MM/DD/YYYY")),0)&lt;=DATE(2027,2,28)),MAX(0,Assumptions!G51-G7),0)</f>
        <v/>
      </c>
      <c r="H29" s="156">
        <f>IF(AND(Assumptions!B51&lt;&gt;"",IFERROR(DATEVALUE(TEXT(Assumptions!B51,"MM/DD/YYYY")),0)&gt;=DATE(2027,3,1),IFERROR(DATEVALUE(TEXT(Assumptions!B51,"MM/DD/YYYY")),0)&lt;=DATE(2027,3,31)),MAX(0,Assumptions!G51-H7),0)</f>
        <v/>
      </c>
      <c r="I29" s="156">
        <f>IF(AND(Assumptions!B51&lt;&gt;"",IFERROR(DATEVALUE(TEXT(Assumptions!B51,"MM/DD/YYYY")),0)&gt;=DATE(2027,4,1),IFERROR(DATEVALUE(TEXT(Assumptions!B51,"MM/DD/YYYY")),0)&lt;=DATE(2027,4,30)),MAX(0,Assumptions!G51-I7),0)</f>
        <v/>
      </c>
      <c r="J29" s="156">
        <f>IF(AND(Assumptions!B51&lt;&gt;"",IFERROR(DATEVALUE(TEXT(Assumptions!B51,"MM/DD/YYYY")),0)&gt;=DATE(2027,5,1),IFERROR(DATEVALUE(TEXT(Assumptions!B51,"MM/DD/YYYY")),0)&lt;=DATE(2027,5,31)),MAX(0,Assumptions!G51-J7),0)</f>
        <v/>
      </c>
      <c r="K29" s="156">
        <f>IF(AND(Assumptions!B51&lt;&gt;"",IFERROR(DATEVALUE(TEXT(Assumptions!B51,"MM/DD/YYYY")),0)&gt;=DATE(2027,6,1),IFERROR(DATEVALUE(TEXT(Assumptions!B51,"MM/DD/YYYY")),0)&lt;=DATE(2027,6,30)),MAX(0,Assumptions!G51-K7),0)</f>
        <v/>
      </c>
      <c r="L29" s="156">
        <f>IF(AND(Assumptions!B51&lt;&gt;"",IFERROR(DATEVALUE(TEXT(Assumptions!B51,"MM/DD/YYYY")),0)&gt;=DATE(2027,7,1),IFERROR(DATEVALUE(TEXT(Assumptions!B51,"MM/DD/YYYY")),0)&lt;=DATE(2027,7,31)),MAX(0,Assumptions!G51-L7),0)</f>
        <v/>
      </c>
      <c r="M29" s="156">
        <f>IF(AND(Assumptions!B51&lt;&gt;"",IFERROR(DATEVALUE(TEXT(Assumptions!B51,"MM/DD/YYYY")),0)&gt;=DATE(2027,8,1),IFERROR(DATEVALUE(TEXT(Assumptions!B51,"MM/DD/YYYY")),0)&lt;=DATE(2027,8,31)),MAX(0,Assumptions!G51-M7),0)</f>
        <v/>
      </c>
      <c r="N29" s="156">
        <f>IF(AND(Assumptions!B51&lt;&gt;"",IFERROR(DATEVALUE(TEXT(Assumptions!B51,"MM/DD/YYYY")),0)&gt;=DATE(2027,9,1),IFERROR(DATEVALUE(TEXT(Assumptions!B51,"MM/DD/YYYY")),0)&lt;=DATE(2027,9,30)),MAX(0,Assumptions!G51-N7),0)</f>
        <v/>
      </c>
      <c r="O29" s="156">
        <f>IF(AND(Assumptions!B51&lt;&gt;"",IFERROR(DATEVALUE(TEXT(Assumptions!B51,"MM/DD/YYYY")),0)&gt;=DATE(2027,10,1),IFERROR(DATEVALUE(TEXT(Assumptions!B51,"MM/DD/YYYY")),0)&lt;=DATE(2027,10,31)),MAX(0,Assumptions!G51-O7),0)</f>
        <v/>
      </c>
      <c r="P29" s="156">
        <f>IF(AND(Assumptions!B51&lt;&gt;"",IFERROR(DATEVALUE(TEXT(Assumptions!B51,"MM/DD/YYYY")),0)&gt;=DATE(2027,11,1),IFERROR(DATEVALUE(TEXT(Assumptions!B51,"MM/DD/YYYY")),0)&lt;=DATE(2027,11,30)),MAX(0,Assumptions!G51-P7),0)</f>
        <v/>
      </c>
      <c r="Q29" s="156">
        <f>IF(AND(Assumptions!B51&lt;&gt;"",IFERROR(DATEVALUE(TEXT(Assumptions!B51,"MM/DD/YYYY")),0)&gt;=DATE(2027,12,1),IFERROR(DATEVALUE(TEXT(Assumptions!B51,"MM/DD/YYYY")),0)&lt;=DATE(2027,12,31)),MAX(0,Assumptions!G51-Q7),0)</f>
        <v/>
      </c>
      <c r="R29" s="156">
        <f>IF(AND(Assumptions!B51&lt;&gt;"",IFERROR(DATEVALUE(TEXT(Assumptions!B51,"MM/DD/YYYY")),0)&gt;=DATE(2028,1,1),IFERROR(DATEVALUE(TEXT(Assumptions!B51,"MM/DD/YYYY")),0)&lt;=DATE(2028,1,31)),MAX(0,Assumptions!G51-R7),0)</f>
        <v/>
      </c>
      <c r="S29" s="156">
        <f>IF(AND(Assumptions!B51&lt;&gt;"",IFERROR(DATEVALUE(TEXT(Assumptions!B51,"MM/DD/YYYY")),0)&gt;=DATE(2028,2,1),IFERROR(DATEVALUE(TEXT(Assumptions!B51,"MM/DD/YYYY")),0)&lt;=DATE(2028,2,29)),MAX(0,Assumptions!G51-S7),0)</f>
        <v/>
      </c>
      <c r="T29" s="156">
        <f>IF(AND(Assumptions!B51&lt;&gt;"",IFERROR(DATEVALUE(TEXT(Assumptions!B51,"MM/DD/YYYY")),0)&gt;=DATE(2028,3,1),IFERROR(DATEVALUE(TEXT(Assumptions!B51,"MM/DD/YYYY")),0)&lt;=DATE(2028,3,31)),MAX(0,Assumptions!G51-T7),0)</f>
        <v/>
      </c>
      <c r="U29" s="156">
        <f>IF(AND(Assumptions!B51&lt;&gt;"",IFERROR(DATEVALUE(TEXT(Assumptions!B51,"MM/DD/YYYY")),0)&gt;=DATE(2028,4,1),IFERROR(DATEVALUE(TEXT(Assumptions!B51,"MM/DD/YYYY")),0)&lt;=DATE(2028,4,30)),MAX(0,Assumptions!G51-U7),0)</f>
        <v/>
      </c>
      <c r="V29" s="156">
        <f>IF(AND(Assumptions!B51&lt;&gt;"",IFERROR(DATEVALUE(TEXT(Assumptions!B51,"MM/DD/YYYY")),0)&gt;=DATE(2028,5,1),IFERROR(DATEVALUE(TEXT(Assumptions!B51,"MM/DD/YYYY")),0)&lt;=DATE(2028,5,31)),MAX(0,Assumptions!G51-V7),0)</f>
        <v/>
      </c>
      <c r="W29" s="156">
        <f>IF(AND(Assumptions!B51&lt;&gt;"",IFERROR(DATEVALUE(TEXT(Assumptions!B51,"MM/DD/YYYY")),0)&gt;=DATE(2028,6,1),IFERROR(DATEVALUE(TEXT(Assumptions!B51,"MM/DD/YYYY")),0)&lt;=DATE(2028,6,30)),MAX(0,Assumptions!G51-W7),0)</f>
        <v/>
      </c>
      <c r="X29" s="156">
        <f>IF(AND(Assumptions!B51&lt;&gt;"",IFERROR(DATEVALUE(TEXT(Assumptions!B51,"MM/DD/YYYY")),0)&gt;=DATE(2028,7,1),IFERROR(DATEVALUE(TEXT(Assumptions!B51,"MM/DD/YYYY")),0)&lt;=DATE(2028,7,31)),MAX(0,Assumptions!G51-X7),0)</f>
        <v/>
      </c>
      <c r="Y29" s="156">
        <f>IF(AND(Assumptions!B51&lt;&gt;"",IFERROR(DATEVALUE(TEXT(Assumptions!B51,"MM/DD/YYYY")),0)&gt;=DATE(2028,8,1),IFERROR(DATEVALUE(TEXT(Assumptions!B51,"MM/DD/YYYY")),0)&lt;=DATE(2028,8,31)),MAX(0,Assumptions!G51-Y7),0)</f>
        <v/>
      </c>
      <c r="Z29" s="156">
        <f>IF(AND(Assumptions!B51&lt;&gt;"",IFERROR(DATEVALUE(TEXT(Assumptions!B51,"MM/DD/YYYY")),0)&gt;=DATE(2028,9,1),IFERROR(DATEVALUE(TEXT(Assumptions!B51,"MM/DD/YYYY")),0)&lt;=DATE(2028,9,30)),MAX(0,Assumptions!G51-Z7),0)</f>
        <v/>
      </c>
      <c r="AA29" s="156">
        <f>IF(AND(Assumptions!B51&lt;&gt;"",IFERROR(DATEVALUE(TEXT(Assumptions!B51,"MM/DD/YYYY")),0)&gt;=DATE(2028,10,1),IFERROR(DATEVALUE(TEXT(Assumptions!B51,"MM/DD/YYYY")),0)&lt;=DATE(2028,10,31)),MAX(0,Assumptions!G51-AA7),0)</f>
        <v/>
      </c>
      <c r="AB29" s="156">
        <f>IF(AND(Assumptions!B51&lt;&gt;"",IFERROR(DATEVALUE(TEXT(Assumptions!B51,"MM/DD/YYYY")),0)&gt;=DATE(2028,11,1),IFERROR(DATEVALUE(TEXT(Assumptions!B51,"MM/DD/YYYY")),0)&lt;=DATE(2028,11,30)),MAX(0,Assumptions!G51-AB7),0)</f>
        <v/>
      </c>
      <c r="AC29" s="156">
        <f>IF(AND(Assumptions!B51&lt;&gt;"",IFERROR(DATEVALUE(TEXT(Assumptions!B51,"MM/DD/YYYY")),0)&gt;=DATE(2028,12,1),IFERROR(DATEVALUE(TEXT(Assumptions!B51,"MM/DD/YYYY")),0)&lt;=DATE(2028,12,31)),MAX(0,Assumptions!G51-AC7),0)</f>
        <v/>
      </c>
      <c r="AD29" s="156">
        <f>IF(AND(Assumptions!B51&lt;&gt;"",IFERROR(DATEVALUE(TEXT(Assumptions!B51,"MM/DD/YYYY")),0)&gt;=DATE(2029,1,1),IFERROR(DATEVALUE(TEXT(Assumptions!B51,"MM/DD/YYYY")),0)&lt;=DATE(2029,1,31)),MAX(0,Assumptions!G51-AD7),0)</f>
        <v/>
      </c>
      <c r="AE29" s="156">
        <f>IF(AND(Assumptions!B51&lt;&gt;"",IFERROR(DATEVALUE(TEXT(Assumptions!B51,"MM/DD/YYYY")),0)&gt;=DATE(2029,2,1),IFERROR(DATEVALUE(TEXT(Assumptions!B51,"MM/DD/YYYY")),0)&lt;=DATE(2029,2,28)),MAX(0,Assumptions!G51-AE7),0)</f>
        <v/>
      </c>
      <c r="AF29" s="156">
        <f>IF(AND(Assumptions!B51&lt;&gt;"",IFERROR(DATEVALUE(TEXT(Assumptions!B51,"MM/DD/YYYY")),0)&gt;=DATE(2029,3,1),IFERROR(DATEVALUE(TEXT(Assumptions!B51,"MM/DD/YYYY")),0)&lt;=DATE(2029,3,31)),MAX(0,Assumptions!G51-AF7),0)</f>
        <v/>
      </c>
      <c r="AG29" s="156">
        <f>IF(AND(Assumptions!B51&lt;&gt;"",IFERROR(DATEVALUE(TEXT(Assumptions!B51,"MM/DD/YYYY")),0)&gt;=DATE(2029,4,1),IFERROR(DATEVALUE(TEXT(Assumptions!B51,"MM/DD/YYYY")),0)&lt;=DATE(2029,4,30)),MAX(0,Assumptions!G51-AG7),0)</f>
        <v/>
      </c>
      <c r="AH29" s="156">
        <f>IF(AND(Assumptions!B51&lt;&gt;"",IFERROR(DATEVALUE(TEXT(Assumptions!B51,"MM/DD/YYYY")),0)&gt;=DATE(2029,5,1),IFERROR(DATEVALUE(TEXT(Assumptions!B51,"MM/DD/YYYY")),0)&lt;=DATE(2029,5,31)),MAX(0,Assumptions!G51-AH7),0)</f>
        <v/>
      </c>
      <c r="AI29" s="156">
        <f>IF(AND(Assumptions!B51&lt;&gt;"",IFERROR(DATEVALUE(TEXT(Assumptions!B51,"MM/DD/YYYY")),0)&gt;=DATE(2029,6,1),IFERROR(DATEVALUE(TEXT(Assumptions!B51,"MM/DD/YYYY")),0)&lt;=DATE(2029,6,30)),MAX(0,Assumptions!G51-AI7),0)</f>
        <v/>
      </c>
      <c r="AJ29" s="156">
        <f>IF(AND(Assumptions!B51&lt;&gt;"",IFERROR(DATEVALUE(TEXT(Assumptions!B51,"MM/DD/YYYY")),0)&gt;=DATE(2029,7,1),IFERROR(DATEVALUE(TEXT(Assumptions!B51,"MM/DD/YYYY")),0)&lt;=DATE(2029,7,31)),MAX(0,Assumptions!G51-AJ7),0)</f>
        <v/>
      </c>
      <c r="AK29" s="156">
        <f>IF(AND(Assumptions!B51&lt;&gt;"",IFERROR(DATEVALUE(TEXT(Assumptions!B51,"MM/DD/YYYY")),0)&gt;=DATE(2029,8,1),IFERROR(DATEVALUE(TEXT(Assumptions!B51,"MM/DD/YYYY")),0)&lt;=DATE(2029,8,31)),MAX(0,Assumptions!G51-AK7),0)</f>
        <v/>
      </c>
      <c r="AL29" s="156">
        <f>IF(AND(Assumptions!B51&lt;&gt;"",IFERROR(DATEVALUE(TEXT(Assumptions!B51,"MM/DD/YYYY")),0)&gt;=DATE(2029,9,1),IFERROR(DATEVALUE(TEXT(Assumptions!B51,"MM/DD/YYYY")),0)&lt;=DATE(2029,9,30)),MAX(0,Assumptions!G51-AL7),0)</f>
        <v/>
      </c>
      <c r="AM29" s="156">
        <f>IF(AND(Assumptions!B51&lt;&gt;"",IFERROR(DATEVALUE(TEXT(Assumptions!B51,"MM/DD/YYYY")),0)&gt;=DATE(2029,10,1),IFERROR(DATEVALUE(TEXT(Assumptions!B51,"MM/DD/YYYY")),0)&lt;=DATE(2029,10,31)),MAX(0,Assumptions!G51-AM7),0)</f>
        <v/>
      </c>
      <c r="AN29" s="156">
        <f>IF(AND(Assumptions!B51&lt;&gt;"",IFERROR(DATEVALUE(TEXT(Assumptions!B51,"MM/DD/YYYY")),0)&gt;=DATE(2029,11,1),IFERROR(DATEVALUE(TEXT(Assumptions!B51,"MM/DD/YYYY")),0)&lt;=DATE(2029,11,30)),MAX(0,Assumptions!G51-AN7),0)</f>
        <v/>
      </c>
      <c r="AO29" s="156">
        <f>IF(AND(Assumptions!B51&lt;&gt;"",IFERROR(DATEVALUE(TEXT(Assumptions!B51,"MM/DD/YYYY")),0)&gt;=DATE(2029,12,1),IFERROR(DATEVALUE(TEXT(Assumptions!B51,"MM/DD/YYYY")),0)&lt;=DATE(2029,12,31)),MAX(0,Assumptions!G51-AO7),0)</f>
        <v/>
      </c>
      <c r="AP29" s="156">
        <f>IF(AND(Assumptions!B51&lt;&gt;"",IFERROR(DATEVALUE(TEXT(Assumptions!B51,"MM/DD/YYYY")),0)&gt;=DATE(2030,1,1),IFERROR(DATEVALUE(TEXT(Assumptions!B51,"MM/DD/YYYY")),0)&lt;=DATE(2030,1,31)),MAX(0,Assumptions!G51-AP7),0)</f>
        <v/>
      </c>
      <c r="AQ29" s="156">
        <f>IF(AND(Assumptions!B51&lt;&gt;"",IFERROR(DATEVALUE(TEXT(Assumptions!B51,"MM/DD/YYYY")),0)&gt;=DATE(2030,2,1),IFERROR(DATEVALUE(TEXT(Assumptions!B51,"MM/DD/YYYY")),0)&lt;=DATE(2030,2,28)),MAX(0,Assumptions!G51-AQ7),0)</f>
        <v/>
      </c>
      <c r="AR29" s="156">
        <f>IF(AND(Assumptions!B51&lt;&gt;"",IFERROR(DATEVALUE(TEXT(Assumptions!B51,"MM/DD/YYYY")),0)&gt;=DATE(2030,3,1),IFERROR(DATEVALUE(TEXT(Assumptions!B51,"MM/DD/YYYY")),0)&lt;=DATE(2030,3,31)),MAX(0,Assumptions!G51-AR7),0)</f>
        <v/>
      </c>
      <c r="AS29" s="156">
        <f>IF(AND(Assumptions!B51&lt;&gt;"",IFERROR(DATEVALUE(TEXT(Assumptions!B51,"MM/DD/YYYY")),0)&gt;=DATE(2030,4,1),IFERROR(DATEVALUE(TEXT(Assumptions!B51,"MM/DD/YYYY")),0)&lt;=DATE(2030,4,30)),MAX(0,Assumptions!G51-AS7),0)</f>
        <v/>
      </c>
      <c r="AT29" s="156">
        <f>IF(AND(Assumptions!B51&lt;&gt;"",IFERROR(DATEVALUE(TEXT(Assumptions!B51,"MM/DD/YYYY")),0)&gt;=DATE(2030,5,1),IFERROR(DATEVALUE(TEXT(Assumptions!B51,"MM/DD/YYYY")),0)&lt;=DATE(2030,5,31)),MAX(0,Assumptions!G51-AT7),0)</f>
        <v/>
      </c>
      <c r="AU29" s="156">
        <f>IF(AND(Assumptions!B51&lt;&gt;"",IFERROR(DATEVALUE(TEXT(Assumptions!B51,"MM/DD/YYYY")),0)&gt;=DATE(2030,6,1),IFERROR(DATEVALUE(TEXT(Assumptions!B51,"MM/DD/YYYY")),0)&lt;=DATE(2030,6,30)),MAX(0,Assumptions!G51-AU7),0)</f>
        <v/>
      </c>
      <c r="AV29" s="156">
        <f>IF(AND(Assumptions!B51&lt;&gt;"",IFERROR(DATEVALUE(TEXT(Assumptions!B51,"MM/DD/YYYY")),0)&gt;=DATE(2030,7,1),IFERROR(DATEVALUE(TEXT(Assumptions!B51,"MM/DD/YYYY")),0)&lt;=DATE(2030,7,31)),MAX(0,Assumptions!G51-AV7),0)</f>
        <v/>
      </c>
      <c r="AW29" s="156">
        <f>IF(AND(Assumptions!B51&lt;&gt;"",IFERROR(DATEVALUE(TEXT(Assumptions!B51,"MM/DD/YYYY")),0)&gt;=DATE(2030,8,1),IFERROR(DATEVALUE(TEXT(Assumptions!B51,"MM/DD/YYYY")),0)&lt;=DATE(2030,8,31)),MAX(0,Assumptions!G51-AW7),0)</f>
        <v/>
      </c>
      <c r="AX29" s="156">
        <f>IF(AND(Assumptions!B51&lt;&gt;"",IFERROR(DATEVALUE(TEXT(Assumptions!B51,"MM/DD/YYYY")),0)&gt;=DATE(2030,9,1),IFERROR(DATEVALUE(TEXT(Assumptions!B51,"MM/DD/YYYY")),0)&lt;=DATE(2030,9,30)),MAX(0,Assumptions!G51-AX7),0)</f>
        <v/>
      </c>
      <c r="AY29" s="156">
        <f>IF(AND(Assumptions!B51&lt;&gt;"",IFERROR(DATEVALUE(TEXT(Assumptions!B51,"MM/DD/YYYY")),0)&gt;=DATE(2030,10,1),IFERROR(DATEVALUE(TEXT(Assumptions!B51,"MM/DD/YYYY")),0)&lt;=DATE(2030,10,31)),MAX(0,Assumptions!G51-AY7),0)</f>
        <v/>
      </c>
      <c r="AZ29" s="156">
        <f>IF(AND(Assumptions!B51&lt;&gt;"",IFERROR(DATEVALUE(TEXT(Assumptions!B51,"MM/DD/YYYY")),0)&gt;=DATE(2030,11,1),IFERROR(DATEVALUE(TEXT(Assumptions!B51,"MM/DD/YYYY")),0)&lt;=DATE(2030,11,30)),MAX(0,Assumptions!G51-AZ7),0)</f>
        <v/>
      </c>
      <c r="BA29" s="156">
        <f>IF(AND(Assumptions!B51&lt;&gt;"",IFERROR(DATEVALUE(TEXT(Assumptions!B51,"MM/DD/YYYY")),0)&gt;=DATE(2030,12,1),IFERROR(DATEVALUE(TEXT(Assumptions!B51,"MM/DD/YYYY")),0)&lt;=DATE(2030,12,31)),MAX(0,Assumptions!G51-BA7),0)</f>
        <v/>
      </c>
      <c r="BB29" s="156">
        <f>IF(AND(Assumptions!B51&lt;&gt;"",IFERROR(DATEVALUE(TEXT(Assumptions!B51,"MM/DD/YYYY")),0)&gt;=DATE(2031,1,1),IFERROR(DATEVALUE(TEXT(Assumptions!B51,"MM/DD/YYYY")),0)&lt;=DATE(2031,1,31)),MAX(0,Assumptions!G51-BB7),0)</f>
        <v/>
      </c>
      <c r="BC29" s="156">
        <f>IF(AND(Assumptions!B51&lt;&gt;"",IFERROR(DATEVALUE(TEXT(Assumptions!B51,"MM/DD/YYYY")),0)&gt;=DATE(2031,2,1),IFERROR(DATEVALUE(TEXT(Assumptions!B51,"MM/DD/YYYY")),0)&lt;=DATE(2031,2,28)),MAX(0,Assumptions!G51-BC7),0)</f>
        <v/>
      </c>
      <c r="BD29" s="156">
        <f>IF(AND(Assumptions!B51&lt;&gt;"",IFERROR(DATEVALUE(TEXT(Assumptions!B51,"MM/DD/YYYY")),0)&gt;=DATE(2031,3,1),IFERROR(DATEVALUE(TEXT(Assumptions!B51,"MM/DD/YYYY")),0)&lt;=DATE(2031,3,31)),MAX(0,Assumptions!G51-BD7),0)</f>
        <v/>
      </c>
      <c r="BE29" s="156">
        <f>IF(AND(Assumptions!B51&lt;&gt;"",IFERROR(DATEVALUE(TEXT(Assumptions!B51,"MM/DD/YYYY")),0)&gt;=DATE(2031,4,1),IFERROR(DATEVALUE(TEXT(Assumptions!B51,"MM/DD/YYYY")),0)&lt;=DATE(2031,4,30)),MAX(0,Assumptions!G51-BE7),0)</f>
        <v/>
      </c>
      <c r="BF29" s="156">
        <f>IF(AND(Assumptions!B51&lt;&gt;"",IFERROR(DATEVALUE(TEXT(Assumptions!B51,"MM/DD/YYYY")),0)&gt;=DATE(2031,5,1),IFERROR(DATEVALUE(TEXT(Assumptions!B51,"MM/DD/YYYY")),0)&lt;=DATE(2031,5,31)),MAX(0,Assumptions!G51-BF7),0)</f>
        <v/>
      </c>
      <c r="BG29" s="156">
        <f>IF(AND(Assumptions!B51&lt;&gt;"",IFERROR(DATEVALUE(TEXT(Assumptions!B51,"MM/DD/YYYY")),0)&gt;=DATE(2031,6,1),IFERROR(DATEVALUE(TEXT(Assumptions!B51,"MM/DD/YYYY")),0)&lt;=DATE(2031,6,30)),MAX(0,Assumptions!G51-BG7),0)</f>
        <v/>
      </c>
      <c r="BH29" s="156">
        <f>IF(AND(Assumptions!B51&lt;&gt;"",IFERROR(DATEVALUE(TEXT(Assumptions!B51,"MM/DD/YYYY")),0)&gt;=DATE(2031,7,1),IFERROR(DATEVALUE(TEXT(Assumptions!B51,"MM/DD/YYYY")),0)&lt;=DATE(2031,7,31)),MAX(0,Assumptions!G51-BH7),0)</f>
        <v/>
      </c>
      <c r="BI29" s="156">
        <f>IF(AND(Assumptions!B51&lt;&gt;"",IFERROR(DATEVALUE(TEXT(Assumptions!B51,"MM/DD/YYYY")),0)&gt;=DATE(2031,8,1),IFERROR(DATEVALUE(TEXT(Assumptions!B51,"MM/DD/YYYY")),0)&lt;=DATE(2031,8,31)),MAX(0,Assumptions!G51-BI7),0)</f>
        <v/>
      </c>
      <c r="BJ29" s="156">
        <f>IF(AND(Assumptions!B51&lt;&gt;"",IFERROR(DATEVALUE(TEXT(Assumptions!B51,"MM/DD/YYYY")),0)&gt;=DATE(2031,9,1),IFERROR(DATEVALUE(TEXT(Assumptions!B51,"MM/DD/YYYY")),0)&lt;=DATE(2031,9,30)),MAX(0,Assumptions!G51-BJ7),0)</f>
        <v/>
      </c>
      <c r="BL29" s="222" t="n">
        <v>3.7827596906839</v>
      </c>
      <c r="BM29" s="157">
        <f>O29+P29+Q29+R29+S29+T29+U29+V29+W29+X29+Y29+Z29</f>
        <v/>
      </c>
      <c r="BN29" s="157">
        <f>AA29+AB29+AC29+AD29+AE29+AF29+AG29+AH29+AI29+AJ29+AK29+AL29</f>
        <v/>
      </c>
      <c r="BO29" s="157">
        <f>AM29+AN29+AO29+AP29+AQ29+AR29+AS29+AT29+AU29+AV29+AW29+AX29</f>
        <v/>
      </c>
      <c r="BP29" s="157">
        <f>AY29+AZ29+BA29+BB29+BC29+BD29+BE29+BF29+BG29+BH29+BI29+BJ29</f>
        <v/>
      </c>
    </row>
    <row r="30" ht="15" customHeight="1" s="104">
      <c r="A30" s="107" t="inlineStr">
        <is>
          <t xml:space="preserve">    Add-On 2 Equity Contribution</t>
        </is>
      </c>
      <c r="C30" s="156">
        <f>IF(AND(Assumptions!B52&lt;&gt;"",IFERROR(DATEVALUE(TEXT(Assumptions!B52,"MM/DD/YYYY")),0)&gt;=DATE(2026,10,1),IFERROR(DATEVALUE(TEXT(Assumptions!B52,"MM/DD/YYYY")),0)&lt;=DATE(2026,10,31)),MAX(0,Assumptions!G52-C8),0)</f>
        <v/>
      </c>
      <c r="D30" s="156">
        <f>IF(AND(Assumptions!B52&lt;&gt;"",IFERROR(DATEVALUE(TEXT(Assumptions!B52,"MM/DD/YYYY")),0)&gt;=DATE(2026,11,1),IFERROR(DATEVALUE(TEXT(Assumptions!B52,"MM/DD/YYYY")),0)&lt;=DATE(2026,11,30)),MAX(0,Assumptions!G52-D8),0)</f>
        <v/>
      </c>
      <c r="E30" s="156">
        <f>IF(AND(Assumptions!B52&lt;&gt;"",IFERROR(DATEVALUE(TEXT(Assumptions!B52,"MM/DD/YYYY")),0)&gt;=DATE(2026,12,1),IFERROR(DATEVALUE(TEXT(Assumptions!B52,"MM/DD/YYYY")),0)&lt;=DATE(2026,12,31)),MAX(0,Assumptions!G52-E8),0)</f>
        <v/>
      </c>
      <c r="F30" s="156">
        <f>IF(AND(Assumptions!B52&lt;&gt;"",IFERROR(DATEVALUE(TEXT(Assumptions!B52,"MM/DD/YYYY")),0)&gt;=DATE(2027,1,1),IFERROR(DATEVALUE(TEXT(Assumptions!B52,"MM/DD/YYYY")),0)&lt;=DATE(2027,1,31)),MAX(0,Assumptions!G52-F8),0)</f>
        <v/>
      </c>
      <c r="G30" s="156">
        <f>IF(AND(Assumptions!B52&lt;&gt;"",IFERROR(DATEVALUE(TEXT(Assumptions!B52,"MM/DD/YYYY")),0)&gt;=DATE(2027,2,1),IFERROR(DATEVALUE(TEXT(Assumptions!B52,"MM/DD/YYYY")),0)&lt;=DATE(2027,2,28)),MAX(0,Assumptions!G52-G8),0)</f>
        <v/>
      </c>
      <c r="H30" s="156">
        <f>IF(AND(Assumptions!B52&lt;&gt;"",IFERROR(DATEVALUE(TEXT(Assumptions!B52,"MM/DD/YYYY")),0)&gt;=DATE(2027,3,1),IFERROR(DATEVALUE(TEXT(Assumptions!B52,"MM/DD/YYYY")),0)&lt;=DATE(2027,3,31)),MAX(0,Assumptions!G52-H8),0)</f>
        <v/>
      </c>
      <c r="I30" s="221" t="n">
        <v>10.25716246433149</v>
      </c>
      <c r="J30" s="156">
        <f>IF(AND(Assumptions!B52&lt;&gt;"",IFERROR(DATEVALUE(TEXT(Assumptions!B52,"MM/DD/YYYY")),0)&gt;=DATE(2027,5,1),IFERROR(DATEVALUE(TEXT(Assumptions!B52,"MM/DD/YYYY")),0)&lt;=DATE(2027,5,31)),MAX(0,Assumptions!G52-J8),0)</f>
        <v/>
      </c>
      <c r="K30" s="156">
        <f>IF(AND(Assumptions!B52&lt;&gt;"",IFERROR(DATEVALUE(TEXT(Assumptions!B52,"MM/DD/YYYY")),0)&gt;=DATE(2027,6,1),IFERROR(DATEVALUE(TEXT(Assumptions!B52,"MM/DD/YYYY")),0)&lt;=DATE(2027,6,30)),MAX(0,Assumptions!G52-K8),0)</f>
        <v/>
      </c>
      <c r="L30" s="156">
        <f>IF(AND(Assumptions!B52&lt;&gt;"",IFERROR(DATEVALUE(TEXT(Assumptions!B52,"MM/DD/YYYY")),0)&gt;=DATE(2027,7,1),IFERROR(DATEVALUE(TEXT(Assumptions!B52,"MM/DD/YYYY")),0)&lt;=DATE(2027,7,31)),MAX(0,Assumptions!G52-L8),0)</f>
        <v/>
      </c>
      <c r="M30" s="156">
        <f>IF(AND(Assumptions!B52&lt;&gt;"",IFERROR(DATEVALUE(TEXT(Assumptions!B52,"MM/DD/YYYY")),0)&gt;=DATE(2027,8,1),IFERROR(DATEVALUE(TEXT(Assumptions!B52,"MM/DD/YYYY")),0)&lt;=DATE(2027,8,31)),MAX(0,Assumptions!G52-M8),0)</f>
        <v/>
      </c>
      <c r="N30" s="156">
        <f>IF(AND(Assumptions!B52&lt;&gt;"",IFERROR(DATEVALUE(TEXT(Assumptions!B52,"MM/DD/YYYY")),0)&gt;=DATE(2027,9,1),IFERROR(DATEVALUE(TEXT(Assumptions!B52,"MM/DD/YYYY")),0)&lt;=DATE(2027,9,30)),MAX(0,Assumptions!G52-N8),0)</f>
        <v/>
      </c>
      <c r="O30" s="156">
        <f>IF(AND(Assumptions!B52&lt;&gt;"",IFERROR(DATEVALUE(TEXT(Assumptions!B52,"MM/DD/YYYY")),0)&gt;=DATE(2027,10,1),IFERROR(DATEVALUE(TEXT(Assumptions!B52,"MM/DD/YYYY")),0)&lt;=DATE(2027,10,31)),MAX(0,Assumptions!G52-O8),0)</f>
        <v/>
      </c>
      <c r="P30" s="156">
        <f>IF(AND(Assumptions!B52&lt;&gt;"",IFERROR(DATEVALUE(TEXT(Assumptions!B52,"MM/DD/YYYY")),0)&gt;=DATE(2027,11,1),IFERROR(DATEVALUE(TEXT(Assumptions!B52,"MM/DD/YYYY")),0)&lt;=DATE(2027,11,30)),MAX(0,Assumptions!G52-P8),0)</f>
        <v/>
      </c>
      <c r="Q30" s="156">
        <f>IF(AND(Assumptions!B52&lt;&gt;"",IFERROR(DATEVALUE(TEXT(Assumptions!B52,"MM/DD/YYYY")),0)&gt;=DATE(2027,12,1),IFERROR(DATEVALUE(TEXT(Assumptions!B52,"MM/DD/YYYY")),0)&lt;=DATE(2027,12,31)),MAX(0,Assumptions!G52-Q8),0)</f>
        <v/>
      </c>
      <c r="R30" s="156">
        <f>IF(AND(Assumptions!B52&lt;&gt;"",IFERROR(DATEVALUE(TEXT(Assumptions!B52,"MM/DD/YYYY")),0)&gt;=DATE(2028,1,1),IFERROR(DATEVALUE(TEXT(Assumptions!B52,"MM/DD/YYYY")),0)&lt;=DATE(2028,1,31)),MAX(0,Assumptions!G52-R8),0)</f>
        <v/>
      </c>
      <c r="S30" s="156">
        <f>IF(AND(Assumptions!B52&lt;&gt;"",IFERROR(DATEVALUE(TEXT(Assumptions!B52,"MM/DD/YYYY")),0)&gt;=DATE(2028,2,1),IFERROR(DATEVALUE(TEXT(Assumptions!B52,"MM/DD/YYYY")),0)&lt;=DATE(2028,2,29)),MAX(0,Assumptions!G52-S8),0)</f>
        <v/>
      </c>
      <c r="T30" s="156">
        <f>IF(AND(Assumptions!B52&lt;&gt;"",IFERROR(DATEVALUE(TEXT(Assumptions!B52,"MM/DD/YYYY")),0)&gt;=DATE(2028,3,1),IFERROR(DATEVALUE(TEXT(Assumptions!B52,"MM/DD/YYYY")),0)&lt;=DATE(2028,3,31)),MAX(0,Assumptions!G52-T8),0)</f>
        <v/>
      </c>
      <c r="U30" s="156">
        <f>IF(AND(Assumptions!B52&lt;&gt;"",IFERROR(DATEVALUE(TEXT(Assumptions!B52,"MM/DD/YYYY")),0)&gt;=DATE(2028,4,1),IFERROR(DATEVALUE(TEXT(Assumptions!B52,"MM/DD/YYYY")),0)&lt;=DATE(2028,4,30)),MAX(0,Assumptions!G52-U8),0)</f>
        <v/>
      </c>
      <c r="V30" s="156">
        <f>IF(AND(Assumptions!B52&lt;&gt;"",IFERROR(DATEVALUE(TEXT(Assumptions!B52,"MM/DD/YYYY")),0)&gt;=DATE(2028,5,1),IFERROR(DATEVALUE(TEXT(Assumptions!B52,"MM/DD/YYYY")),0)&lt;=DATE(2028,5,31)),MAX(0,Assumptions!G52-V8),0)</f>
        <v/>
      </c>
      <c r="W30" s="156">
        <f>IF(AND(Assumptions!B52&lt;&gt;"",IFERROR(DATEVALUE(TEXT(Assumptions!B52,"MM/DD/YYYY")),0)&gt;=DATE(2028,6,1),IFERROR(DATEVALUE(TEXT(Assumptions!B52,"MM/DD/YYYY")),0)&lt;=DATE(2028,6,30)),MAX(0,Assumptions!G52-W8),0)</f>
        <v/>
      </c>
      <c r="X30" s="156">
        <f>IF(AND(Assumptions!B52&lt;&gt;"",IFERROR(DATEVALUE(TEXT(Assumptions!B52,"MM/DD/YYYY")),0)&gt;=DATE(2028,7,1),IFERROR(DATEVALUE(TEXT(Assumptions!B52,"MM/DD/YYYY")),0)&lt;=DATE(2028,7,31)),MAX(0,Assumptions!G52-X8),0)</f>
        <v/>
      </c>
      <c r="Y30" s="156">
        <f>IF(AND(Assumptions!B52&lt;&gt;"",IFERROR(DATEVALUE(TEXT(Assumptions!B52,"MM/DD/YYYY")),0)&gt;=DATE(2028,8,1),IFERROR(DATEVALUE(TEXT(Assumptions!B52,"MM/DD/YYYY")),0)&lt;=DATE(2028,8,31)),MAX(0,Assumptions!G52-Y8),0)</f>
        <v/>
      </c>
      <c r="Z30" s="156">
        <f>IF(AND(Assumptions!B52&lt;&gt;"",IFERROR(DATEVALUE(TEXT(Assumptions!B52,"MM/DD/YYYY")),0)&gt;=DATE(2028,9,1),IFERROR(DATEVALUE(TEXT(Assumptions!B52,"MM/DD/YYYY")),0)&lt;=DATE(2028,9,30)),MAX(0,Assumptions!G52-Z8),0)</f>
        <v/>
      </c>
      <c r="AA30" s="156">
        <f>IF(AND(Assumptions!B52&lt;&gt;"",IFERROR(DATEVALUE(TEXT(Assumptions!B52,"MM/DD/YYYY")),0)&gt;=DATE(2028,10,1),IFERROR(DATEVALUE(TEXT(Assumptions!B52,"MM/DD/YYYY")),0)&lt;=DATE(2028,10,31)),MAX(0,Assumptions!G52-AA8),0)</f>
        <v/>
      </c>
      <c r="AB30" s="156">
        <f>IF(AND(Assumptions!B52&lt;&gt;"",IFERROR(DATEVALUE(TEXT(Assumptions!B52,"MM/DD/YYYY")),0)&gt;=DATE(2028,11,1),IFERROR(DATEVALUE(TEXT(Assumptions!B52,"MM/DD/YYYY")),0)&lt;=DATE(2028,11,30)),MAX(0,Assumptions!G52-AB8),0)</f>
        <v/>
      </c>
      <c r="AC30" s="156">
        <f>IF(AND(Assumptions!B52&lt;&gt;"",IFERROR(DATEVALUE(TEXT(Assumptions!B52,"MM/DD/YYYY")),0)&gt;=DATE(2028,12,1),IFERROR(DATEVALUE(TEXT(Assumptions!B52,"MM/DD/YYYY")),0)&lt;=DATE(2028,12,31)),MAX(0,Assumptions!G52-AC8),0)</f>
        <v/>
      </c>
      <c r="AD30" s="156">
        <f>IF(AND(Assumptions!B52&lt;&gt;"",IFERROR(DATEVALUE(TEXT(Assumptions!B52,"MM/DD/YYYY")),0)&gt;=DATE(2029,1,1),IFERROR(DATEVALUE(TEXT(Assumptions!B52,"MM/DD/YYYY")),0)&lt;=DATE(2029,1,31)),MAX(0,Assumptions!G52-AD8),0)</f>
        <v/>
      </c>
      <c r="AE30" s="156">
        <f>IF(AND(Assumptions!B52&lt;&gt;"",IFERROR(DATEVALUE(TEXT(Assumptions!B52,"MM/DD/YYYY")),0)&gt;=DATE(2029,2,1),IFERROR(DATEVALUE(TEXT(Assumptions!B52,"MM/DD/YYYY")),0)&lt;=DATE(2029,2,28)),MAX(0,Assumptions!G52-AE8),0)</f>
        <v/>
      </c>
      <c r="AF30" s="156">
        <f>IF(AND(Assumptions!B52&lt;&gt;"",IFERROR(DATEVALUE(TEXT(Assumptions!B52,"MM/DD/YYYY")),0)&gt;=DATE(2029,3,1),IFERROR(DATEVALUE(TEXT(Assumptions!B52,"MM/DD/YYYY")),0)&lt;=DATE(2029,3,31)),MAX(0,Assumptions!G52-AF8),0)</f>
        <v/>
      </c>
      <c r="AG30" s="156">
        <f>IF(AND(Assumptions!B52&lt;&gt;"",IFERROR(DATEVALUE(TEXT(Assumptions!B52,"MM/DD/YYYY")),0)&gt;=DATE(2029,4,1),IFERROR(DATEVALUE(TEXT(Assumptions!B52,"MM/DD/YYYY")),0)&lt;=DATE(2029,4,30)),MAX(0,Assumptions!G52-AG8),0)</f>
        <v/>
      </c>
      <c r="AH30" s="156">
        <f>IF(AND(Assumptions!B52&lt;&gt;"",IFERROR(DATEVALUE(TEXT(Assumptions!B52,"MM/DD/YYYY")),0)&gt;=DATE(2029,5,1),IFERROR(DATEVALUE(TEXT(Assumptions!B52,"MM/DD/YYYY")),0)&lt;=DATE(2029,5,31)),MAX(0,Assumptions!G52-AH8),0)</f>
        <v/>
      </c>
      <c r="AI30" s="156">
        <f>IF(AND(Assumptions!B52&lt;&gt;"",IFERROR(DATEVALUE(TEXT(Assumptions!B52,"MM/DD/YYYY")),0)&gt;=DATE(2029,6,1),IFERROR(DATEVALUE(TEXT(Assumptions!B52,"MM/DD/YYYY")),0)&lt;=DATE(2029,6,30)),MAX(0,Assumptions!G52-AI8),0)</f>
        <v/>
      </c>
      <c r="AJ30" s="156">
        <f>IF(AND(Assumptions!B52&lt;&gt;"",IFERROR(DATEVALUE(TEXT(Assumptions!B52,"MM/DD/YYYY")),0)&gt;=DATE(2029,7,1),IFERROR(DATEVALUE(TEXT(Assumptions!B52,"MM/DD/YYYY")),0)&lt;=DATE(2029,7,31)),MAX(0,Assumptions!G52-AJ8),0)</f>
        <v/>
      </c>
      <c r="AK30" s="156">
        <f>IF(AND(Assumptions!B52&lt;&gt;"",IFERROR(DATEVALUE(TEXT(Assumptions!B52,"MM/DD/YYYY")),0)&gt;=DATE(2029,8,1),IFERROR(DATEVALUE(TEXT(Assumptions!B52,"MM/DD/YYYY")),0)&lt;=DATE(2029,8,31)),MAX(0,Assumptions!G52-AK8),0)</f>
        <v/>
      </c>
      <c r="AL30" s="156">
        <f>IF(AND(Assumptions!B52&lt;&gt;"",IFERROR(DATEVALUE(TEXT(Assumptions!B52,"MM/DD/YYYY")),0)&gt;=DATE(2029,9,1),IFERROR(DATEVALUE(TEXT(Assumptions!B52,"MM/DD/YYYY")),0)&lt;=DATE(2029,9,30)),MAX(0,Assumptions!G52-AL8),0)</f>
        <v/>
      </c>
      <c r="AM30" s="156">
        <f>IF(AND(Assumptions!B52&lt;&gt;"",IFERROR(DATEVALUE(TEXT(Assumptions!B52,"MM/DD/YYYY")),0)&gt;=DATE(2029,10,1),IFERROR(DATEVALUE(TEXT(Assumptions!B52,"MM/DD/YYYY")),0)&lt;=DATE(2029,10,31)),MAX(0,Assumptions!G52-AM8),0)</f>
        <v/>
      </c>
      <c r="AN30" s="156">
        <f>IF(AND(Assumptions!B52&lt;&gt;"",IFERROR(DATEVALUE(TEXT(Assumptions!B52,"MM/DD/YYYY")),0)&gt;=DATE(2029,11,1),IFERROR(DATEVALUE(TEXT(Assumptions!B52,"MM/DD/YYYY")),0)&lt;=DATE(2029,11,30)),MAX(0,Assumptions!G52-AN8),0)</f>
        <v/>
      </c>
      <c r="AO30" s="156">
        <f>IF(AND(Assumptions!B52&lt;&gt;"",IFERROR(DATEVALUE(TEXT(Assumptions!B52,"MM/DD/YYYY")),0)&gt;=DATE(2029,12,1),IFERROR(DATEVALUE(TEXT(Assumptions!B52,"MM/DD/YYYY")),0)&lt;=DATE(2029,12,31)),MAX(0,Assumptions!G52-AO8),0)</f>
        <v/>
      </c>
      <c r="AP30" s="156">
        <f>IF(AND(Assumptions!B52&lt;&gt;"",IFERROR(DATEVALUE(TEXT(Assumptions!B52,"MM/DD/YYYY")),0)&gt;=DATE(2030,1,1),IFERROR(DATEVALUE(TEXT(Assumptions!B52,"MM/DD/YYYY")),0)&lt;=DATE(2030,1,31)),MAX(0,Assumptions!G52-AP8),0)</f>
        <v/>
      </c>
      <c r="AQ30" s="156">
        <f>IF(AND(Assumptions!B52&lt;&gt;"",IFERROR(DATEVALUE(TEXT(Assumptions!B52,"MM/DD/YYYY")),0)&gt;=DATE(2030,2,1),IFERROR(DATEVALUE(TEXT(Assumptions!B52,"MM/DD/YYYY")),0)&lt;=DATE(2030,2,28)),MAX(0,Assumptions!G52-AQ8),0)</f>
        <v/>
      </c>
      <c r="AR30" s="156">
        <f>IF(AND(Assumptions!B52&lt;&gt;"",IFERROR(DATEVALUE(TEXT(Assumptions!B52,"MM/DD/YYYY")),0)&gt;=DATE(2030,3,1),IFERROR(DATEVALUE(TEXT(Assumptions!B52,"MM/DD/YYYY")),0)&lt;=DATE(2030,3,31)),MAX(0,Assumptions!G52-AR8),0)</f>
        <v/>
      </c>
      <c r="AS30" s="156">
        <f>IF(AND(Assumptions!B52&lt;&gt;"",IFERROR(DATEVALUE(TEXT(Assumptions!B52,"MM/DD/YYYY")),0)&gt;=DATE(2030,4,1),IFERROR(DATEVALUE(TEXT(Assumptions!B52,"MM/DD/YYYY")),0)&lt;=DATE(2030,4,30)),MAX(0,Assumptions!G52-AS8),0)</f>
        <v/>
      </c>
      <c r="AT30" s="156">
        <f>IF(AND(Assumptions!B52&lt;&gt;"",IFERROR(DATEVALUE(TEXT(Assumptions!B52,"MM/DD/YYYY")),0)&gt;=DATE(2030,5,1),IFERROR(DATEVALUE(TEXT(Assumptions!B52,"MM/DD/YYYY")),0)&lt;=DATE(2030,5,31)),MAX(0,Assumptions!G52-AT8),0)</f>
        <v/>
      </c>
      <c r="AU30" s="156">
        <f>IF(AND(Assumptions!B52&lt;&gt;"",IFERROR(DATEVALUE(TEXT(Assumptions!B52,"MM/DD/YYYY")),0)&gt;=DATE(2030,6,1),IFERROR(DATEVALUE(TEXT(Assumptions!B52,"MM/DD/YYYY")),0)&lt;=DATE(2030,6,30)),MAX(0,Assumptions!G52-AU8),0)</f>
        <v/>
      </c>
      <c r="AV30" s="156">
        <f>IF(AND(Assumptions!B52&lt;&gt;"",IFERROR(DATEVALUE(TEXT(Assumptions!B52,"MM/DD/YYYY")),0)&gt;=DATE(2030,7,1),IFERROR(DATEVALUE(TEXT(Assumptions!B52,"MM/DD/YYYY")),0)&lt;=DATE(2030,7,31)),MAX(0,Assumptions!G52-AV8),0)</f>
        <v/>
      </c>
      <c r="AW30" s="156">
        <f>IF(AND(Assumptions!B52&lt;&gt;"",IFERROR(DATEVALUE(TEXT(Assumptions!B52,"MM/DD/YYYY")),0)&gt;=DATE(2030,8,1),IFERROR(DATEVALUE(TEXT(Assumptions!B52,"MM/DD/YYYY")),0)&lt;=DATE(2030,8,31)),MAX(0,Assumptions!G52-AW8),0)</f>
        <v/>
      </c>
      <c r="AX30" s="156">
        <f>IF(AND(Assumptions!B52&lt;&gt;"",IFERROR(DATEVALUE(TEXT(Assumptions!B52,"MM/DD/YYYY")),0)&gt;=DATE(2030,9,1),IFERROR(DATEVALUE(TEXT(Assumptions!B52,"MM/DD/YYYY")),0)&lt;=DATE(2030,9,30)),MAX(0,Assumptions!G52-AX8),0)</f>
        <v/>
      </c>
      <c r="AY30" s="156">
        <f>IF(AND(Assumptions!B52&lt;&gt;"",IFERROR(DATEVALUE(TEXT(Assumptions!B52,"MM/DD/YYYY")),0)&gt;=DATE(2030,10,1),IFERROR(DATEVALUE(TEXT(Assumptions!B52,"MM/DD/YYYY")),0)&lt;=DATE(2030,10,31)),MAX(0,Assumptions!G52-AY8),0)</f>
        <v/>
      </c>
      <c r="AZ30" s="156">
        <f>IF(AND(Assumptions!B52&lt;&gt;"",IFERROR(DATEVALUE(TEXT(Assumptions!B52,"MM/DD/YYYY")),0)&gt;=DATE(2030,11,1),IFERROR(DATEVALUE(TEXT(Assumptions!B52,"MM/DD/YYYY")),0)&lt;=DATE(2030,11,30)),MAX(0,Assumptions!G52-AZ8),0)</f>
        <v/>
      </c>
      <c r="BA30" s="156">
        <f>IF(AND(Assumptions!B52&lt;&gt;"",IFERROR(DATEVALUE(TEXT(Assumptions!B52,"MM/DD/YYYY")),0)&gt;=DATE(2030,12,1),IFERROR(DATEVALUE(TEXT(Assumptions!B52,"MM/DD/YYYY")),0)&lt;=DATE(2030,12,31)),MAX(0,Assumptions!G52-BA8),0)</f>
        <v/>
      </c>
      <c r="BB30" s="156">
        <f>IF(AND(Assumptions!B52&lt;&gt;"",IFERROR(DATEVALUE(TEXT(Assumptions!B52,"MM/DD/YYYY")),0)&gt;=DATE(2031,1,1),IFERROR(DATEVALUE(TEXT(Assumptions!B52,"MM/DD/YYYY")),0)&lt;=DATE(2031,1,31)),MAX(0,Assumptions!G52-BB8),0)</f>
        <v/>
      </c>
      <c r="BC30" s="156">
        <f>IF(AND(Assumptions!B52&lt;&gt;"",IFERROR(DATEVALUE(TEXT(Assumptions!B52,"MM/DD/YYYY")),0)&gt;=DATE(2031,2,1),IFERROR(DATEVALUE(TEXT(Assumptions!B52,"MM/DD/YYYY")),0)&lt;=DATE(2031,2,28)),MAX(0,Assumptions!G52-BC8),0)</f>
        <v/>
      </c>
      <c r="BD30" s="156">
        <f>IF(AND(Assumptions!B52&lt;&gt;"",IFERROR(DATEVALUE(TEXT(Assumptions!B52,"MM/DD/YYYY")),0)&gt;=DATE(2031,3,1),IFERROR(DATEVALUE(TEXT(Assumptions!B52,"MM/DD/YYYY")),0)&lt;=DATE(2031,3,31)),MAX(0,Assumptions!G52-BD8),0)</f>
        <v/>
      </c>
      <c r="BE30" s="156">
        <f>IF(AND(Assumptions!B52&lt;&gt;"",IFERROR(DATEVALUE(TEXT(Assumptions!B52,"MM/DD/YYYY")),0)&gt;=DATE(2031,4,1),IFERROR(DATEVALUE(TEXT(Assumptions!B52,"MM/DD/YYYY")),0)&lt;=DATE(2031,4,30)),MAX(0,Assumptions!G52-BE8),0)</f>
        <v/>
      </c>
      <c r="BF30" s="156">
        <f>IF(AND(Assumptions!B52&lt;&gt;"",IFERROR(DATEVALUE(TEXT(Assumptions!B52,"MM/DD/YYYY")),0)&gt;=DATE(2031,5,1),IFERROR(DATEVALUE(TEXT(Assumptions!B52,"MM/DD/YYYY")),0)&lt;=DATE(2031,5,31)),MAX(0,Assumptions!G52-BF8),0)</f>
        <v/>
      </c>
      <c r="BG30" s="156">
        <f>IF(AND(Assumptions!B52&lt;&gt;"",IFERROR(DATEVALUE(TEXT(Assumptions!B52,"MM/DD/YYYY")),0)&gt;=DATE(2031,6,1),IFERROR(DATEVALUE(TEXT(Assumptions!B52,"MM/DD/YYYY")),0)&lt;=DATE(2031,6,30)),MAX(0,Assumptions!G52-BG8),0)</f>
        <v/>
      </c>
      <c r="BH30" s="156">
        <f>IF(AND(Assumptions!B52&lt;&gt;"",IFERROR(DATEVALUE(TEXT(Assumptions!B52,"MM/DD/YYYY")),0)&gt;=DATE(2031,7,1),IFERROR(DATEVALUE(TEXT(Assumptions!B52,"MM/DD/YYYY")),0)&lt;=DATE(2031,7,31)),MAX(0,Assumptions!G52-BH8),0)</f>
        <v/>
      </c>
      <c r="BI30" s="156">
        <f>IF(AND(Assumptions!B52&lt;&gt;"",IFERROR(DATEVALUE(TEXT(Assumptions!B52,"MM/DD/YYYY")),0)&gt;=DATE(2031,8,1),IFERROR(DATEVALUE(TEXT(Assumptions!B52,"MM/DD/YYYY")),0)&lt;=DATE(2031,8,31)),MAX(0,Assumptions!G52-BI8),0)</f>
        <v/>
      </c>
      <c r="BJ30" s="156">
        <f>IF(AND(Assumptions!B52&lt;&gt;"",IFERROR(DATEVALUE(TEXT(Assumptions!B52,"MM/DD/YYYY")),0)&gt;=DATE(2031,9,1),IFERROR(DATEVALUE(TEXT(Assumptions!B52,"MM/DD/YYYY")),0)&lt;=DATE(2031,9,30)),MAX(0,Assumptions!G52-BJ8),0)</f>
        <v/>
      </c>
      <c r="BL30" s="222" t="n">
        <v>10.25716246433149</v>
      </c>
      <c r="BM30" s="157">
        <f>O30+P30+Q30+R30+S30+T30+U30+V30+W30+X30+Y30+Z30</f>
        <v/>
      </c>
      <c r="BN30" s="157">
        <f>AA30+AB30+AC30+AD30+AE30+AF30+AG30+AH30+AI30+AJ30+AK30+AL30</f>
        <v/>
      </c>
      <c r="BO30" s="157">
        <f>AM30+AN30+AO30+AP30+AQ30+AR30+AS30+AT30+AU30+AV30+AW30+AX30</f>
        <v/>
      </c>
      <c r="BP30" s="157">
        <f>AY30+AZ30+BA30+BB30+BC30+BD30+BE30+BF30+BG30+BH30+BI30+BJ30</f>
        <v/>
      </c>
    </row>
    <row r="31" ht="15" customHeight="1" s="104">
      <c r="A31" s="107" t="inlineStr">
        <is>
          <t xml:space="preserve">    Add-On 3 Equity Contribution</t>
        </is>
      </c>
      <c r="C31" s="156">
        <f>IF(AND(Assumptions!B53&lt;&gt;"",IFERROR(DATEVALUE(TEXT(Assumptions!B53,"MM/DD/YYYY")),0)&gt;=DATE(2026,10,1),IFERROR(DATEVALUE(TEXT(Assumptions!B53,"MM/DD/YYYY")),0)&lt;=DATE(2026,10,31)),MAX(0,Assumptions!G53-C9),0)</f>
        <v/>
      </c>
      <c r="D31" s="156">
        <f>IF(AND(Assumptions!B53&lt;&gt;"",IFERROR(DATEVALUE(TEXT(Assumptions!B53,"MM/DD/YYYY")),0)&gt;=DATE(2026,11,1),IFERROR(DATEVALUE(TEXT(Assumptions!B53,"MM/DD/YYYY")),0)&lt;=DATE(2026,11,30)),MAX(0,Assumptions!G53-D9),0)</f>
        <v/>
      </c>
      <c r="E31" s="156">
        <f>IF(AND(Assumptions!B53&lt;&gt;"",IFERROR(DATEVALUE(TEXT(Assumptions!B53,"MM/DD/YYYY")),0)&gt;=DATE(2026,12,1),IFERROR(DATEVALUE(TEXT(Assumptions!B53,"MM/DD/YYYY")),0)&lt;=DATE(2026,12,31)),MAX(0,Assumptions!G53-E9),0)</f>
        <v/>
      </c>
      <c r="F31" s="156">
        <f>IF(AND(Assumptions!B53&lt;&gt;"",IFERROR(DATEVALUE(TEXT(Assumptions!B53,"MM/DD/YYYY")),0)&gt;=DATE(2027,1,1),IFERROR(DATEVALUE(TEXT(Assumptions!B53,"MM/DD/YYYY")),0)&lt;=DATE(2027,1,31)),MAX(0,Assumptions!G53-F9),0)</f>
        <v/>
      </c>
      <c r="G31" s="156">
        <f>IF(AND(Assumptions!B53&lt;&gt;"",IFERROR(DATEVALUE(TEXT(Assumptions!B53,"MM/DD/YYYY")),0)&gt;=DATE(2027,2,1),IFERROR(DATEVALUE(TEXT(Assumptions!B53,"MM/DD/YYYY")),0)&lt;=DATE(2027,2,28)),MAX(0,Assumptions!G53-G9),0)</f>
        <v/>
      </c>
      <c r="H31" s="156">
        <f>IF(AND(Assumptions!B53&lt;&gt;"",IFERROR(DATEVALUE(TEXT(Assumptions!B53,"MM/DD/YYYY")),0)&gt;=DATE(2027,3,1),IFERROR(DATEVALUE(TEXT(Assumptions!B53,"MM/DD/YYYY")),0)&lt;=DATE(2027,3,31)),MAX(0,Assumptions!G53-H9),0)</f>
        <v/>
      </c>
      <c r="I31" s="156">
        <f>IF(AND(Assumptions!B53&lt;&gt;"",IFERROR(DATEVALUE(TEXT(Assumptions!B53,"MM/DD/YYYY")),0)&gt;=DATE(2027,4,1),IFERROR(DATEVALUE(TEXT(Assumptions!B53,"MM/DD/YYYY")),0)&lt;=DATE(2027,4,30)),MAX(0,Assumptions!G53-I9),0)</f>
        <v/>
      </c>
      <c r="J31" s="156">
        <f>IF(AND(Assumptions!B53&lt;&gt;"",IFERROR(DATEVALUE(TEXT(Assumptions!B53,"MM/DD/YYYY")),0)&gt;=DATE(2027,5,1),IFERROR(DATEVALUE(TEXT(Assumptions!B53,"MM/DD/YYYY")),0)&lt;=DATE(2027,5,31)),MAX(0,Assumptions!G53-J9),0)</f>
        <v/>
      </c>
      <c r="K31" s="156">
        <f>IF(AND(Assumptions!B53&lt;&gt;"",IFERROR(DATEVALUE(TEXT(Assumptions!B53,"MM/DD/YYYY")),0)&gt;=DATE(2027,6,1),IFERROR(DATEVALUE(TEXT(Assumptions!B53,"MM/DD/YYYY")),0)&lt;=DATE(2027,6,30)),MAX(0,Assumptions!G53-K9),0)</f>
        <v/>
      </c>
      <c r="L31" s="221" t="n">
        <v>14.03681154848242</v>
      </c>
      <c r="M31" s="156">
        <f>IF(AND(Assumptions!B53&lt;&gt;"",IFERROR(DATEVALUE(TEXT(Assumptions!B53,"MM/DD/YYYY")),0)&gt;=DATE(2027,8,1),IFERROR(DATEVALUE(TEXT(Assumptions!B53,"MM/DD/YYYY")),0)&lt;=DATE(2027,8,31)),MAX(0,Assumptions!G53-M9),0)</f>
        <v/>
      </c>
      <c r="N31" s="156">
        <f>IF(AND(Assumptions!B53&lt;&gt;"",IFERROR(DATEVALUE(TEXT(Assumptions!B53,"MM/DD/YYYY")),0)&gt;=DATE(2027,9,1),IFERROR(DATEVALUE(TEXT(Assumptions!B53,"MM/DD/YYYY")),0)&lt;=DATE(2027,9,30)),MAX(0,Assumptions!G53-N9),0)</f>
        <v/>
      </c>
      <c r="O31" s="156">
        <f>IF(AND(Assumptions!B53&lt;&gt;"",IFERROR(DATEVALUE(TEXT(Assumptions!B53,"MM/DD/YYYY")),0)&gt;=DATE(2027,10,1),IFERROR(DATEVALUE(TEXT(Assumptions!B53,"MM/DD/YYYY")),0)&lt;=DATE(2027,10,31)),MAX(0,Assumptions!G53-O9),0)</f>
        <v/>
      </c>
      <c r="P31" s="156">
        <f>IF(AND(Assumptions!B53&lt;&gt;"",IFERROR(DATEVALUE(TEXT(Assumptions!B53,"MM/DD/YYYY")),0)&gt;=DATE(2027,11,1),IFERROR(DATEVALUE(TEXT(Assumptions!B53,"MM/DD/YYYY")),0)&lt;=DATE(2027,11,30)),MAX(0,Assumptions!G53-P9),0)</f>
        <v/>
      </c>
      <c r="Q31" s="156">
        <f>IF(AND(Assumptions!B53&lt;&gt;"",IFERROR(DATEVALUE(TEXT(Assumptions!B53,"MM/DD/YYYY")),0)&gt;=DATE(2027,12,1),IFERROR(DATEVALUE(TEXT(Assumptions!B53,"MM/DD/YYYY")),0)&lt;=DATE(2027,12,31)),MAX(0,Assumptions!G53-Q9),0)</f>
        <v/>
      </c>
      <c r="R31" s="156">
        <f>IF(AND(Assumptions!B53&lt;&gt;"",IFERROR(DATEVALUE(TEXT(Assumptions!B53,"MM/DD/YYYY")),0)&gt;=DATE(2028,1,1),IFERROR(DATEVALUE(TEXT(Assumptions!B53,"MM/DD/YYYY")),0)&lt;=DATE(2028,1,31)),MAX(0,Assumptions!G53-R9),0)</f>
        <v/>
      </c>
      <c r="S31" s="156">
        <f>IF(AND(Assumptions!B53&lt;&gt;"",IFERROR(DATEVALUE(TEXT(Assumptions!B53,"MM/DD/YYYY")),0)&gt;=DATE(2028,2,1),IFERROR(DATEVALUE(TEXT(Assumptions!B53,"MM/DD/YYYY")),0)&lt;=DATE(2028,2,29)),MAX(0,Assumptions!G53-S9),0)</f>
        <v/>
      </c>
      <c r="T31" s="156">
        <f>IF(AND(Assumptions!B53&lt;&gt;"",IFERROR(DATEVALUE(TEXT(Assumptions!B53,"MM/DD/YYYY")),0)&gt;=DATE(2028,3,1),IFERROR(DATEVALUE(TEXT(Assumptions!B53,"MM/DD/YYYY")),0)&lt;=DATE(2028,3,31)),MAX(0,Assumptions!G53-T9),0)</f>
        <v/>
      </c>
      <c r="U31" s="156">
        <f>IF(AND(Assumptions!B53&lt;&gt;"",IFERROR(DATEVALUE(TEXT(Assumptions!B53,"MM/DD/YYYY")),0)&gt;=DATE(2028,4,1),IFERROR(DATEVALUE(TEXT(Assumptions!B53,"MM/DD/YYYY")),0)&lt;=DATE(2028,4,30)),MAX(0,Assumptions!G53-U9),0)</f>
        <v/>
      </c>
      <c r="V31" s="156">
        <f>IF(AND(Assumptions!B53&lt;&gt;"",IFERROR(DATEVALUE(TEXT(Assumptions!B53,"MM/DD/YYYY")),0)&gt;=DATE(2028,5,1),IFERROR(DATEVALUE(TEXT(Assumptions!B53,"MM/DD/YYYY")),0)&lt;=DATE(2028,5,31)),MAX(0,Assumptions!G53-V9),0)</f>
        <v/>
      </c>
      <c r="W31" s="156">
        <f>IF(AND(Assumptions!B53&lt;&gt;"",IFERROR(DATEVALUE(TEXT(Assumptions!B53,"MM/DD/YYYY")),0)&gt;=DATE(2028,6,1),IFERROR(DATEVALUE(TEXT(Assumptions!B53,"MM/DD/YYYY")),0)&lt;=DATE(2028,6,30)),MAX(0,Assumptions!G53-W9),0)</f>
        <v/>
      </c>
      <c r="X31" s="156">
        <f>IF(AND(Assumptions!B53&lt;&gt;"",IFERROR(DATEVALUE(TEXT(Assumptions!B53,"MM/DD/YYYY")),0)&gt;=DATE(2028,7,1),IFERROR(DATEVALUE(TEXT(Assumptions!B53,"MM/DD/YYYY")),0)&lt;=DATE(2028,7,31)),MAX(0,Assumptions!G53-X9),0)</f>
        <v/>
      </c>
      <c r="Y31" s="156">
        <f>IF(AND(Assumptions!B53&lt;&gt;"",IFERROR(DATEVALUE(TEXT(Assumptions!B53,"MM/DD/YYYY")),0)&gt;=DATE(2028,8,1),IFERROR(DATEVALUE(TEXT(Assumptions!B53,"MM/DD/YYYY")),0)&lt;=DATE(2028,8,31)),MAX(0,Assumptions!G53-Y9),0)</f>
        <v/>
      </c>
      <c r="Z31" s="156">
        <f>IF(AND(Assumptions!B53&lt;&gt;"",IFERROR(DATEVALUE(TEXT(Assumptions!B53,"MM/DD/YYYY")),0)&gt;=DATE(2028,9,1),IFERROR(DATEVALUE(TEXT(Assumptions!B53,"MM/DD/YYYY")),0)&lt;=DATE(2028,9,30)),MAX(0,Assumptions!G53-Z9),0)</f>
        <v/>
      </c>
      <c r="AA31" s="156">
        <f>IF(AND(Assumptions!B53&lt;&gt;"",IFERROR(DATEVALUE(TEXT(Assumptions!B53,"MM/DD/YYYY")),0)&gt;=DATE(2028,10,1),IFERROR(DATEVALUE(TEXT(Assumptions!B53,"MM/DD/YYYY")),0)&lt;=DATE(2028,10,31)),MAX(0,Assumptions!G53-AA9),0)</f>
        <v/>
      </c>
      <c r="AB31" s="156">
        <f>IF(AND(Assumptions!B53&lt;&gt;"",IFERROR(DATEVALUE(TEXT(Assumptions!B53,"MM/DD/YYYY")),0)&gt;=DATE(2028,11,1),IFERROR(DATEVALUE(TEXT(Assumptions!B53,"MM/DD/YYYY")),0)&lt;=DATE(2028,11,30)),MAX(0,Assumptions!G53-AB9),0)</f>
        <v/>
      </c>
      <c r="AC31" s="156">
        <f>IF(AND(Assumptions!B53&lt;&gt;"",IFERROR(DATEVALUE(TEXT(Assumptions!B53,"MM/DD/YYYY")),0)&gt;=DATE(2028,12,1),IFERROR(DATEVALUE(TEXT(Assumptions!B53,"MM/DD/YYYY")),0)&lt;=DATE(2028,12,31)),MAX(0,Assumptions!G53-AC9),0)</f>
        <v/>
      </c>
      <c r="AD31" s="156">
        <f>IF(AND(Assumptions!B53&lt;&gt;"",IFERROR(DATEVALUE(TEXT(Assumptions!B53,"MM/DD/YYYY")),0)&gt;=DATE(2029,1,1),IFERROR(DATEVALUE(TEXT(Assumptions!B53,"MM/DD/YYYY")),0)&lt;=DATE(2029,1,31)),MAX(0,Assumptions!G53-AD9),0)</f>
        <v/>
      </c>
      <c r="AE31" s="156">
        <f>IF(AND(Assumptions!B53&lt;&gt;"",IFERROR(DATEVALUE(TEXT(Assumptions!B53,"MM/DD/YYYY")),0)&gt;=DATE(2029,2,1),IFERROR(DATEVALUE(TEXT(Assumptions!B53,"MM/DD/YYYY")),0)&lt;=DATE(2029,2,28)),MAX(0,Assumptions!G53-AE9),0)</f>
        <v/>
      </c>
      <c r="AF31" s="156">
        <f>IF(AND(Assumptions!B53&lt;&gt;"",IFERROR(DATEVALUE(TEXT(Assumptions!B53,"MM/DD/YYYY")),0)&gt;=DATE(2029,3,1),IFERROR(DATEVALUE(TEXT(Assumptions!B53,"MM/DD/YYYY")),0)&lt;=DATE(2029,3,31)),MAX(0,Assumptions!G53-AF9),0)</f>
        <v/>
      </c>
      <c r="AG31" s="156">
        <f>IF(AND(Assumptions!B53&lt;&gt;"",IFERROR(DATEVALUE(TEXT(Assumptions!B53,"MM/DD/YYYY")),0)&gt;=DATE(2029,4,1),IFERROR(DATEVALUE(TEXT(Assumptions!B53,"MM/DD/YYYY")),0)&lt;=DATE(2029,4,30)),MAX(0,Assumptions!G53-AG9),0)</f>
        <v/>
      </c>
      <c r="AH31" s="156">
        <f>IF(AND(Assumptions!B53&lt;&gt;"",IFERROR(DATEVALUE(TEXT(Assumptions!B53,"MM/DD/YYYY")),0)&gt;=DATE(2029,5,1),IFERROR(DATEVALUE(TEXT(Assumptions!B53,"MM/DD/YYYY")),0)&lt;=DATE(2029,5,31)),MAX(0,Assumptions!G53-AH9),0)</f>
        <v/>
      </c>
      <c r="AI31" s="156">
        <f>IF(AND(Assumptions!B53&lt;&gt;"",IFERROR(DATEVALUE(TEXT(Assumptions!B53,"MM/DD/YYYY")),0)&gt;=DATE(2029,6,1),IFERROR(DATEVALUE(TEXT(Assumptions!B53,"MM/DD/YYYY")),0)&lt;=DATE(2029,6,30)),MAX(0,Assumptions!G53-AI9),0)</f>
        <v/>
      </c>
      <c r="AJ31" s="156">
        <f>IF(AND(Assumptions!B53&lt;&gt;"",IFERROR(DATEVALUE(TEXT(Assumptions!B53,"MM/DD/YYYY")),0)&gt;=DATE(2029,7,1),IFERROR(DATEVALUE(TEXT(Assumptions!B53,"MM/DD/YYYY")),0)&lt;=DATE(2029,7,31)),MAX(0,Assumptions!G53-AJ9),0)</f>
        <v/>
      </c>
      <c r="AK31" s="156">
        <f>IF(AND(Assumptions!B53&lt;&gt;"",IFERROR(DATEVALUE(TEXT(Assumptions!B53,"MM/DD/YYYY")),0)&gt;=DATE(2029,8,1),IFERROR(DATEVALUE(TEXT(Assumptions!B53,"MM/DD/YYYY")),0)&lt;=DATE(2029,8,31)),MAX(0,Assumptions!G53-AK9),0)</f>
        <v/>
      </c>
      <c r="AL31" s="156">
        <f>IF(AND(Assumptions!B53&lt;&gt;"",IFERROR(DATEVALUE(TEXT(Assumptions!B53,"MM/DD/YYYY")),0)&gt;=DATE(2029,9,1),IFERROR(DATEVALUE(TEXT(Assumptions!B53,"MM/DD/YYYY")),0)&lt;=DATE(2029,9,30)),MAX(0,Assumptions!G53-AL9),0)</f>
        <v/>
      </c>
      <c r="AM31" s="156">
        <f>IF(AND(Assumptions!B53&lt;&gt;"",IFERROR(DATEVALUE(TEXT(Assumptions!B53,"MM/DD/YYYY")),0)&gt;=DATE(2029,10,1),IFERROR(DATEVALUE(TEXT(Assumptions!B53,"MM/DD/YYYY")),0)&lt;=DATE(2029,10,31)),MAX(0,Assumptions!G53-AM9),0)</f>
        <v/>
      </c>
      <c r="AN31" s="156">
        <f>IF(AND(Assumptions!B53&lt;&gt;"",IFERROR(DATEVALUE(TEXT(Assumptions!B53,"MM/DD/YYYY")),0)&gt;=DATE(2029,11,1),IFERROR(DATEVALUE(TEXT(Assumptions!B53,"MM/DD/YYYY")),0)&lt;=DATE(2029,11,30)),MAX(0,Assumptions!G53-AN9),0)</f>
        <v/>
      </c>
      <c r="AO31" s="156">
        <f>IF(AND(Assumptions!B53&lt;&gt;"",IFERROR(DATEVALUE(TEXT(Assumptions!B53,"MM/DD/YYYY")),0)&gt;=DATE(2029,12,1),IFERROR(DATEVALUE(TEXT(Assumptions!B53,"MM/DD/YYYY")),0)&lt;=DATE(2029,12,31)),MAX(0,Assumptions!G53-AO9),0)</f>
        <v/>
      </c>
      <c r="AP31" s="156">
        <f>IF(AND(Assumptions!B53&lt;&gt;"",IFERROR(DATEVALUE(TEXT(Assumptions!B53,"MM/DD/YYYY")),0)&gt;=DATE(2030,1,1),IFERROR(DATEVALUE(TEXT(Assumptions!B53,"MM/DD/YYYY")),0)&lt;=DATE(2030,1,31)),MAX(0,Assumptions!G53-AP9),0)</f>
        <v/>
      </c>
      <c r="AQ31" s="156">
        <f>IF(AND(Assumptions!B53&lt;&gt;"",IFERROR(DATEVALUE(TEXT(Assumptions!B53,"MM/DD/YYYY")),0)&gt;=DATE(2030,2,1),IFERROR(DATEVALUE(TEXT(Assumptions!B53,"MM/DD/YYYY")),0)&lt;=DATE(2030,2,28)),MAX(0,Assumptions!G53-AQ9),0)</f>
        <v/>
      </c>
      <c r="AR31" s="156">
        <f>IF(AND(Assumptions!B53&lt;&gt;"",IFERROR(DATEVALUE(TEXT(Assumptions!B53,"MM/DD/YYYY")),0)&gt;=DATE(2030,3,1),IFERROR(DATEVALUE(TEXT(Assumptions!B53,"MM/DD/YYYY")),0)&lt;=DATE(2030,3,31)),MAX(0,Assumptions!G53-AR9),0)</f>
        <v/>
      </c>
      <c r="AS31" s="156">
        <f>IF(AND(Assumptions!B53&lt;&gt;"",IFERROR(DATEVALUE(TEXT(Assumptions!B53,"MM/DD/YYYY")),0)&gt;=DATE(2030,4,1),IFERROR(DATEVALUE(TEXT(Assumptions!B53,"MM/DD/YYYY")),0)&lt;=DATE(2030,4,30)),MAX(0,Assumptions!G53-AS9),0)</f>
        <v/>
      </c>
      <c r="AT31" s="156">
        <f>IF(AND(Assumptions!B53&lt;&gt;"",IFERROR(DATEVALUE(TEXT(Assumptions!B53,"MM/DD/YYYY")),0)&gt;=DATE(2030,5,1),IFERROR(DATEVALUE(TEXT(Assumptions!B53,"MM/DD/YYYY")),0)&lt;=DATE(2030,5,31)),MAX(0,Assumptions!G53-AT9),0)</f>
        <v/>
      </c>
      <c r="AU31" s="156">
        <f>IF(AND(Assumptions!B53&lt;&gt;"",IFERROR(DATEVALUE(TEXT(Assumptions!B53,"MM/DD/YYYY")),0)&gt;=DATE(2030,6,1),IFERROR(DATEVALUE(TEXT(Assumptions!B53,"MM/DD/YYYY")),0)&lt;=DATE(2030,6,30)),MAX(0,Assumptions!G53-AU9),0)</f>
        <v/>
      </c>
      <c r="AV31" s="156">
        <f>IF(AND(Assumptions!B53&lt;&gt;"",IFERROR(DATEVALUE(TEXT(Assumptions!B53,"MM/DD/YYYY")),0)&gt;=DATE(2030,7,1),IFERROR(DATEVALUE(TEXT(Assumptions!B53,"MM/DD/YYYY")),0)&lt;=DATE(2030,7,31)),MAX(0,Assumptions!G53-AV9),0)</f>
        <v/>
      </c>
      <c r="AW31" s="156">
        <f>IF(AND(Assumptions!B53&lt;&gt;"",IFERROR(DATEVALUE(TEXT(Assumptions!B53,"MM/DD/YYYY")),0)&gt;=DATE(2030,8,1),IFERROR(DATEVALUE(TEXT(Assumptions!B53,"MM/DD/YYYY")),0)&lt;=DATE(2030,8,31)),MAX(0,Assumptions!G53-AW9),0)</f>
        <v/>
      </c>
      <c r="AX31" s="156">
        <f>IF(AND(Assumptions!B53&lt;&gt;"",IFERROR(DATEVALUE(TEXT(Assumptions!B53,"MM/DD/YYYY")),0)&gt;=DATE(2030,9,1),IFERROR(DATEVALUE(TEXT(Assumptions!B53,"MM/DD/YYYY")),0)&lt;=DATE(2030,9,30)),MAX(0,Assumptions!G53-AX9),0)</f>
        <v/>
      </c>
      <c r="AY31" s="156">
        <f>IF(AND(Assumptions!B53&lt;&gt;"",IFERROR(DATEVALUE(TEXT(Assumptions!B53,"MM/DD/YYYY")),0)&gt;=DATE(2030,10,1),IFERROR(DATEVALUE(TEXT(Assumptions!B53,"MM/DD/YYYY")),0)&lt;=DATE(2030,10,31)),MAX(0,Assumptions!G53-AY9),0)</f>
        <v/>
      </c>
      <c r="AZ31" s="156">
        <f>IF(AND(Assumptions!B53&lt;&gt;"",IFERROR(DATEVALUE(TEXT(Assumptions!B53,"MM/DD/YYYY")),0)&gt;=DATE(2030,11,1),IFERROR(DATEVALUE(TEXT(Assumptions!B53,"MM/DD/YYYY")),0)&lt;=DATE(2030,11,30)),MAX(0,Assumptions!G53-AZ9),0)</f>
        <v/>
      </c>
      <c r="BA31" s="156">
        <f>IF(AND(Assumptions!B53&lt;&gt;"",IFERROR(DATEVALUE(TEXT(Assumptions!B53,"MM/DD/YYYY")),0)&gt;=DATE(2030,12,1),IFERROR(DATEVALUE(TEXT(Assumptions!B53,"MM/DD/YYYY")),0)&lt;=DATE(2030,12,31)),MAX(0,Assumptions!G53-BA9),0)</f>
        <v/>
      </c>
      <c r="BB31" s="156">
        <f>IF(AND(Assumptions!B53&lt;&gt;"",IFERROR(DATEVALUE(TEXT(Assumptions!B53,"MM/DD/YYYY")),0)&gt;=DATE(2031,1,1),IFERROR(DATEVALUE(TEXT(Assumptions!B53,"MM/DD/YYYY")),0)&lt;=DATE(2031,1,31)),MAX(0,Assumptions!G53-BB9),0)</f>
        <v/>
      </c>
      <c r="BC31" s="156">
        <f>IF(AND(Assumptions!B53&lt;&gt;"",IFERROR(DATEVALUE(TEXT(Assumptions!B53,"MM/DD/YYYY")),0)&gt;=DATE(2031,2,1),IFERROR(DATEVALUE(TEXT(Assumptions!B53,"MM/DD/YYYY")),0)&lt;=DATE(2031,2,28)),MAX(0,Assumptions!G53-BC9),0)</f>
        <v/>
      </c>
      <c r="BD31" s="156">
        <f>IF(AND(Assumptions!B53&lt;&gt;"",IFERROR(DATEVALUE(TEXT(Assumptions!B53,"MM/DD/YYYY")),0)&gt;=DATE(2031,3,1),IFERROR(DATEVALUE(TEXT(Assumptions!B53,"MM/DD/YYYY")),0)&lt;=DATE(2031,3,31)),MAX(0,Assumptions!G53-BD9),0)</f>
        <v/>
      </c>
      <c r="BE31" s="156">
        <f>IF(AND(Assumptions!B53&lt;&gt;"",IFERROR(DATEVALUE(TEXT(Assumptions!B53,"MM/DD/YYYY")),0)&gt;=DATE(2031,4,1),IFERROR(DATEVALUE(TEXT(Assumptions!B53,"MM/DD/YYYY")),0)&lt;=DATE(2031,4,30)),MAX(0,Assumptions!G53-BE9),0)</f>
        <v/>
      </c>
      <c r="BF31" s="156">
        <f>IF(AND(Assumptions!B53&lt;&gt;"",IFERROR(DATEVALUE(TEXT(Assumptions!B53,"MM/DD/YYYY")),0)&gt;=DATE(2031,5,1),IFERROR(DATEVALUE(TEXT(Assumptions!B53,"MM/DD/YYYY")),0)&lt;=DATE(2031,5,31)),MAX(0,Assumptions!G53-BF9),0)</f>
        <v/>
      </c>
      <c r="BG31" s="156">
        <f>IF(AND(Assumptions!B53&lt;&gt;"",IFERROR(DATEVALUE(TEXT(Assumptions!B53,"MM/DD/YYYY")),0)&gt;=DATE(2031,6,1),IFERROR(DATEVALUE(TEXT(Assumptions!B53,"MM/DD/YYYY")),0)&lt;=DATE(2031,6,30)),MAX(0,Assumptions!G53-BG9),0)</f>
        <v/>
      </c>
      <c r="BH31" s="156">
        <f>IF(AND(Assumptions!B53&lt;&gt;"",IFERROR(DATEVALUE(TEXT(Assumptions!B53,"MM/DD/YYYY")),0)&gt;=DATE(2031,7,1),IFERROR(DATEVALUE(TEXT(Assumptions!B53,"MM/DD/YYYY")),0)&lt;=DATE(2031,7,31)),MAX(0,Assumptions!G53-BH9),0)</f>
        <v/>
      </c>
      <c r="BI31" s="156">
        <f>IF(AND(Assumptions!B53&lt;&gt;"",IFERROR(DATEVALUE(TEXT(Assumptions!B53,"MM/DD/YYYY")),0)&gt;=DATE(2031,8,1),IFERROR(DATEVALUE(TEXT(Assumptions!B53,"MM/DD/YYYY")),0)&lt;=DATE(2031,8,31)),MAX(0,Assumptions!G53-BI9),0)</f>
        <v/>
      </c>
      <c r="BJ31" s="156">
        <f>IF(AND(Assumptions!B53&lt;&gt;"",IFERROR(DATEVALUE(TEXT(Assumptions!B53,"MM/DD/YYYY")),0)&gt;=DATE(2031,9,1),IFERROR(DATEVALUE(TEXT(Assumptions!B53,"MM/DD/YYYY")),0)&lt;=DATE(2031,9,30)),MAX(0,Assumptions!G53-BJ9),0)</f>
        <v/>
      </c>
      <c r="BL31" s="222" t="n">
        <v>14.03681154848242</v>
      </c>
      <c r="BM31" s="157">
        <f>O31+P31+Q31+R31+S31+T31+U31+V31+W31+X31+Y31+Z31</f>
        <v/>
      </c>
      <c r="BN31" s="157">
        <f>AA31+AB31+AC31+AD31+AE31+AF31+AG31+AH31+AI31+AJ31+AK31+AL31</f>
        <v/>
      </c>
      <c r="BO31" s="157">
        <f>AM31+AN31+AO31+AP31+AQ31+AR31+AS31+AT31+AU31+AV31+AW31+AX31</f>
        <v/>
      </c>
      <c r="BP31" s="157">
        <f>AY31+AZ31+BA31+BB31+BC31+BD31+BE31+BF31+BG31+BH31+BI31+BJ31</f>
        <v/>
      </c>
    </row>
    <row r="32" ht="15" customHeight="1" s="104">
      <c r="A32" s="107" t="inlineStr">
        <is>
          <t xml:space="preserve">    Add-On 4 Equity Contribution</t>
        </is>
      </c>
      <c r="C32" s="156">
        <f>IF(AND(Assumptions!B54&lt;&gt;"",IFERROR(DATEVALUE(TEXT(Assumptions!B54,"MM/DD/YYYY")),0)&gt;=DATE(2026,10,1),IFERROR(DATEVALUE(TEXT(Assumptions!B54,"MM/DD/YYYY")),0)&lt;=DATE(2026,10,31)),MAX(0,Assumptions!G54-C10),0)</f>
        <v/>
      </c>
      <c r="D32" s="156">
        <f>IF(AND(Assumptions!B54&lt;&gt;"",IFERROR(DATEVALUE(TEXT(Assumptions!B54,"MM/DD/YYYY")),0)&gt;=DATE(2026,11,1),IFERROR(DATEVALUE(TEXT(Assumptions!B54,"MM/DD/YYYY")),0)&lt;=DATE(2026,11,30)),MAX(0,Assumptions!G54-D10),0)</f>
        <v/>
      </c>
      <c r="E32" s="156">
        <f>IF(AND(Assumptions!B54&lt;&gt;"",IFERROR(DATEVALUE(TEXT(Assumptions!B54,"MM/DD/YYYY")),0)&gt;=DATE(2026,12,1),IFERROR(DATEVALUE(TEXT(Assumptions!B54,"MM/DD/YYYY")),0)&lt;=DATE(2026,12,31)),MAX(0,Assumptions!G54-E10),0)</f>
        <v/>
      </c>
      <c r="F32" s="156">
        <f>IF(AND(Assumptions!B54&lt;&gt;"",IFERROR(DATEVALUE(TEXT(Assumptions!B54,"MM/DD/YYYY")),0)&gt;=DATE(2027,1,1),IFERROR(DATEVALUE(TEXT(Assumptions!B54,"MM/DD/YYYY")),0)&lt;=DATE(2027,1,31)),MAX(0,Assumptions!G54-F10),0)</f>
        <v/>
      </c>
      <c r="G32" s="156">
        <f>IF(AND(Assumptions!B54&lt;&gt;"",IFERROR(DATEVALUE(TEXT(Assumptions!B54,"MM/DD/YYYY")),0)&gt;=DATE(2027,2,1),IFERROR(DATEVALUE(TEXT(Assumptions!B54,"MM/DD/YYYY")),0)&lt;=DATE(2027,2,28)),MAX(0,Assumptions!G54-G10),0)</f>
        <v/>
      </c>
      <c r="H32" s="156">
        <f>IF(AND(Assumptions!B54&lt;&gt;"",IFERROR(DATEVALUE(TEXT(Assumptions!B54,"MM/DD/YYYY")),0)&gt;=DATE(2027,3,1),IFERROR(DATEVALUE(TEXT(Assumptions!B54,"MM/DD/YYYY")),0)&lt;=DATE(2027,3,31)),MAX(0,Assumptions!G54-H10),0)</f>
        <v/>
      </c>
      <c r="I32" s="156">
        <f>IF(AND(Assumptions!B54&lt;&gt;"",IFERROR(DATEVALUE(TEXT(Assumptions!B54,"MM/DD/YYYY")),0)&gt;=DATE(2027,4,1),IFERROR(DATEVALUE(TEXT(Assumptions!B54,"MM/DD/YYYY")),0)&lt;=DATE(2027,4,30)),MAX(0,Assumptions!G54-I10),0)</f>
        <v/>
      </c>
      <c r="J32" s="156">
        <f>IF(AND(Assumptions!B54&lt;&gt;"",IFERROR(DATEVALUE(TEXT(Assumptions!B54,"MM/DD/YYYY")),0)&gt;=DATE(2027,5,1),IFERROR(DATEVALUE(TEXT(Assumptions!B54,"MM/DD/YYYY")),0)&lt;=DATE(2027,5,31)),MAX(0,Assumptions!G54-J10),0)</f>
        <v/>
      </c>
      <c r="K32" s="156">
        <f>IF(AND(Assumptions!B54&lt;&gt;"",IFERROR(DATEVALUE(TEXT(Assumptions!B54,"MM/DD/YYYY")),0)&gt;=DATE(2027,6,1),IFERROR(DATEVALUE(TEXT(Assumptions!B54,"MM/DD/YYYY")),0)&lt;=DATE(2027,6,30)),MAX(0,Assumptions!G54-K10),0)</f>
        <v/>
      </c>
      <c r="L32" s="156">
        <f>IF(AND(Assumptions!B54&lt;&gt;"",IFERROR(DATEVALUE(TEXT(Assumptions!B54,"MM/DD/YYYY")),0)&gt;=DATE(2027,7,1),IFERROR(DATEVALUE(TEXT(Assumptions!B54,"MM/DD/YYYY")),0)&lt;=DATE(2027,7,31)),MAX(0,Assumptions!G54-L10),0)</f>
        <v/>
      </c>
      <c r="M32" s="156">
        <f>IF(AND(Assumptions!B54&lt;&gt;"",IFERROR(DATEVALUE(TEXT(Assumptions!B54,"MM/DD/YYYY")),0)&gt;=DATE(2027,8,1),IFERROR(DATEVALUE(TEXT(Assumptions!B54,"MM/DD/YYYY")),0)&lt;=DATE(2027,8,31)),MAX(0,Assumptions!G54-M10),0)</f>
        <v/>
      </c>
      <c r="N32" s="156">
        <f>IF(AND(Assumptions!B54&lt;&gt;"",IFERROR(DATEVALUE(TEXT(Assumptions!B54,"MM/DD/YYYY")),0)&gt;=DATE(2027,9,1),IFERROR(DATEVALUE(TEXT(Assumptions!B54,"MM/DD/YYYY")),0)&lt;=DATE(2027,9,30)),MAX(0,Assumptions!G54-N10),0)</f>
        <v/>
      </c>
      <c r="O32" s="156">
        <f>IF(AND(Assumptions!B54&lt;&gt;"",IFERROR(DATEVALUE(TEXT(Assumptions!B54,"MM/DD/YYYY")),0)&gt;=DATE(2027,10,1),IFERROR(DATEVALUE(TEXT(Assumptions!B54,"MM/DD/YYYY")),0)&lt;=DATE(2027,10,31)),MAX(0,Assumptions!G54-O10),0)</f>
        <v/>
      </c>
      <c r="P32" s="156">
        <f>IF(AND(Assumptions!B54&lt;&gt;"",IFERROR(DATEVALUE(TEXT(Assumptions!B54,"MM/DD/YYYY")),0)&gt;=DATE(2027,11,1),IFERROR(DATEVALUE(TEXT(Assumptions!B54,"MM/DD/YYYY")),0)&lt;=DATE(2027,11,30)),MAX(0,Assumptions!G54-P10),0)</f>
        <v/>
      </c>
      <c r="Q32" s="156">
        <f>IF(AND(Assumptions!B54&lt;&gt;"",IFERROR(DATEVALUE(TEXT(Assumptions!B54,"MM/DD/YYYY")),0)&gt;=DATE(2027,12,1),IFERROR(DATEVALUE(TEXT(Assumptions!B54,"MM/DD/YYYY")),0)&lt;=DATE(2027,12,31)),MAX(0,Assumptions!G54-Q10),0)</f>
        <v/>
      </c>
      <c r="R32" s="221" t="n">
        <v>13.87726629650219</v>
      </c>
      <c r="S32" s="156">
        <f>IF(AND(Assumptions!B54&lt;&gt;"",IFERROR(DATEVALUE(TEXT(Assumptions!B54,"MM/DD/YYYY")),0)&gt;=DATE(2028,2,1),IFERROR(DATEVALUE(TEXT(Assumptions!B54,"MM/DD/YYYY")),0)&lt;=DATE(2028,2,29)),MAX(0,Assumptions!G54-S10),0)</f>
        <v/>
      </c>
      <c r="T32" s="156">
        <f>IF(AND(Assumptions!B54&lt;&gt;"",IFERROR(DATEVALUE(TEXT(Assumptions!B54,"MM/DD/YYYY")),0)&gt;=DATE(2028,3,1),IFERROR(DATEVALUE(TEXT(Assumptions!B54,"MM/DD/YYYY")),0)&lt;=DATE(2028,3,31)),MAX(0,Assumptions!G54-T10),0)</f>
        <v/>
      </c>
      <c r="U32" s="156">
        <f>IF(AND(Assumptions!B54&lt;&gt;"",IFERROR(DATEVALUE(TEXT(Assumptions!B54,"MM/DD/YYYY")),0)&gt;=DATE(2028,4,1),IFERROR(DATEVALUE(TEXT(Assumptions!B54,"MM/DD/YYYY")),0)&lt;=DATE(2028,4,30)),MAX(0,Assumptions!G54-U10),0)</f>
        <v/>
      </c>
      <c r="V32" s="156">
        <f>IF(AND(Assumptions!B54&lt;&gt;"",IFERROR(DATEVALUE(TEXT(Assumptions!B54,"MM/DD/YYYY")),0)&gt;=DATE(2028,5,1),IFERROR(DATEVALUE(TEXT(Assumptions!B54,"MM/DD/YYYY")),0)&lt;=DATE(2028,5,31)),MAX(0,Assumptions!G54-V10),0)</f>
        <v/>
      </c>
      <c r="W32" s="156">
        <f>IF(AND(Assumptions!B54&lt;&gt;"",IFERROR(DATEVALUE(TEXT(Assumptions!B54,"MM/DD/YYYY")),0)&gt;=DATE(2028,6,1),IFERROR(DATEVALUE(TEXT(Assumptions!B54,"MM/DD/YYYY")),0)&lt;=DATE(2028,6,30)),MAX(0,Assumptions!G54-W10),0)</f>
        <v/>
      </c>
      <c r="X32" s="156">
        <f>IF(AND(Assumptions!B54&lt;&gt;"",IFERROR(DATEVALUE(TEXT(Assumptions!B54,"MM/DD/YYYY")),0)&gt;=DATE(2028,7,1),IFERROR(DATEVALUE(TEXT(Assumptions!B54,"MM/DD/YYYY")),0)&lt;=DATE(2028,7,31)),MAX(0,Assumptions!G54-X10),0)</f>
        <v/>
      </c>
      <c r="Y32" s="156">
        <f>IF(AND(Assumptions!B54&lt;&gt;"",IFERROR(DATEVALUE(TEXT(Assumptions!B54,"MM/DD/YYYY")),0)&gt;=DATE(2028,8,1),IFERROR(DATEVALUE(TEXT(Assumptions!B54,"MM/DD/YYYY")),0)&lt;=DATE(2028,8,31)),MAX(0,Assumptions!G54-Y10),0)</f>
        <v/>
      </c>
      <c r="Z32" s="156">
        <f>IF(AND(Assumptions!B54&lt;&gt;"",IFERROR(DATEVALUE(TEXT(Assumptions!B54,"MM/DD/YYYY")),0)&gt;=DATE(2028,9,1),IFERROR(DATEVALUE(TEXT(Assumptions!B54,"MM/DD/YYYY")),0)&lt;=DATE(2028,9,30)),MAX(0,Assumptions!G54-Z10),0)</f>
        <v/>
      </c>
      <c r="AA32" s="156">
        <f>IF(AND(Assumptions!B54&lt;&gt;"",IFERROR(DATEVALUE(TEXT(Assumptions!B54,"MM/DD/YYYY")),0)&gt;=DATE(2028,10,1),IFERROR(DATEVALUE(TEXT(Assumptions!B54,"MM/DD/YYYY")),0)&lt;=DATE(2028,10,31)),MAX(0,Assumptions!G54-AA10),0)</f>
        <v/>
      </c>
      <c r="AB32" s="156">
        <f>IF(AND(Assumptions!B54&lt;&gt;"",IFERROR(DATEVALUE(TEXT(Assumptions!B54,"MM/DD/YYYY")),0)&gt;=DATE(2028,11,1),IFERROR(DATEVALUE(TEXT(Assumptions!B54,"MM/DD/YYYY")),0)&lt;=DATE(2028,11,30)),MAX(0,Assumptions!G54-AB10),0)</f>
        <v/>
      </c>
      <c r="AC32" s="156">
        <f>IF(AND(Assumptions!B54&lt;&gt;"",IFERROR(DATEVALUE(TEXT(Assumptions!B54,"MM/DD/YYYY")),0)&gt;=DATE(2028,12,1),IFERROR(DATEVALUE(TEXT(Assumptions!B54,"MM/DD/YYYY")),0)&lt;=DATE(2028,12,31)),MAX(0,Assumptions!G54-AC10),0)</f>
        <v/>
      </c>
      <c r="AD32" s="156">
        <f>IF(AND(Assumptions!B54&lt;&gt;"",IFERROR(DATEVALUE(TEXT(Assumptions!B54,"MM/DD/YYYY")),0)&gt;=DATE(2029,1,1),IFERROR(DATEVALUE(TEXT(Assumptions!B54,"MM/DD/YYYY")),0)&lt;=DATE(2029,1,31)),MAX(0,Assumptions!G54-AD10),0)</f>
        <v/>
      </c>
      <c r="AE32" s="156">
        <f>IF(AND(Assumptions!B54&lt;&gt;"",IFERROR(DATEVALUE(TEXT(Assumptions!B54,"MM/DD/YYYY")),0)&gt;=DATE(2029,2,1),IFERROR(DATEVALUE(TEXT(Assumptions!B54,"MM/DD/YYYY")),0)&lt;=DATE(2029,2,28)),MAX(0,Assumptions!G54-AE10),0)</f>
        <v/>
      </c>
      <c r="AF32" s="156">
        <f>IF(AND(Assumptions!B54&lt;&gt;"",IFERROR(DATEVALUE(TEXT(Assumptions!B54,"MM/DD/YYYY")),0)&gt;=DATE(2029,3,1),IFERROR(DATEVALUE(TEXT(Assumptions!B54,"MM/DD/YYYY")),0)&lt;=DATE(2029,3,31)),MAX(0,Assumptions!G54-AF10),0)</f>
        <v/>
      </c>
      <c r="AG32" s="156">
        <f>IF(AND(Assumptions!B54&lt;&gt;"",IFERROR(DATEVALUE(TEXT(Assumptions!B54,"MM/DD/YYYY")),0)&gt;=DATE(2029,4,1),IFERROR(DATEVALUE(TEXT(Assumptions!B54,"MM/DD/YYYY")),0)&lt;=DATE(2029,4,30)),MAX(0,Assumptions!G54-AG10),0)</f>
        <v/>
      </c>
      <c r="AH32" s="156">
        <f>IF(AND(Assumptions!B54&lt;&gt;"",IFERROR(DATEVALUE(TEXT(Assumptions!B54,"MM/DD/YYYY")),0)&gt;=DATE(2029,5,1),IFERROR(DATEVALUE(TEXT(Assumptions!B54,"MM/DD/YYYY")),0)&lt;=DATE(2029,5,31)),MAX(0,Assumptions!G54-AH10),0)</f>
        <v/>
      </c>
      <c r="AI32" s="156">
        <f>IF(AND(Assumptions!B54&lt;&gt;"",IFERROR(DATEVALUE(TEXT(Assumptions!B54,"MM/DD/YYYY")),0)&gt;=DATE(2029,6,1),IFERROR(DATEVALUE(TEXT(Assumptions!B54,"MM/DD/YYYY")),0)&lt;=DATE(2029,6,30)),MAX(0,Assumptions!G54-AI10),0)</f>
        <v/>
      </c>
      <c r="AJ32" s="156">
        <f>IF(AND(Assumptions!B54&lt;&gt;"",IFERROR(DATEVALUE(TEXT(Assumptions!B54,"MM/DD/YYYY")),0)&gt;=DATE(2029,7,1),IFERROR(DATEVALUE(TEXT(Assumptions!B54,"MM/DD/YYYY")),0)&lt;=DATE(2029,7,31)),MAX(0,Assumptions!G54-AJ10),0)</f>
        <v/>
      </c>
      <c r="AK32" s="156">
        <f>IF(AND(Assumptions!B54&lt;&gt;"",IFERROR(DATEVALUE(TEXT(Assumptions!B54,"MM/DD/YYYY")),0)&gt;=DATE(2029,8,1),IFERROR(DATEVALUE(TEXT(Assumptions!B54,"MM/DD/YYYY")),0)&lt;=DATE(2029,8,31)),MAX(0,Assumptions!G54-AK10),0)</f>
        <v/>
      </c>
      <c r="AL32" s="156">
        <f>IF(AND(Assumptions!B54&lt;&gt;"",IFERROR(DATEVALUE(TEXT(Assumptions!B54,"MM/DD/YYYY")),0)&gt;=DATE(2029,9,1),IFERROR(DATEVALUE(TEXT(Assumptions!B54,"MM/DD/YYYY")),0)&lt;=DATE(2029,9,30)),MAX(0,Assumptions!G54-AL10),0)</f>
        <v/>
      </c>
      <c r="AM32" s="156">
        <f>IF(AND(Assumptions!B54&lt;&gt;"",IFERROR(DATEVALUE(TEXT(Assumptions!B54,"MM/DD/YYYY")),0)&gt;=DATE(2029,10,1),IFERROR(DATEVALUE(TEXT(Assumptions!B54,"MM/DD/YYYY")),0)&lt;=DATE(2029,10,31)),MAX(0,Assumptions!G54-AM10),0)</f>
        <v/>
      </c>
      <c r="AN32" s="156">
        <f>IF(AND(Assumptions!B54&lt;&gt;"",IFERROR(DATEVALUE(TEXT(Assumptions!B54,"MM/DD/YYYY")),0)&gt;=DATE(2029,11,1),IFERROR(DATEVALUE(TEXT(Assumptions!B54,"MM/DD/YYYY")),0)&lt;=DATE(2029,11,30)),MAX(0,Assumptions!G54-AN10),0)</f>
        <v/>
      </c>
      <c r="AO32" s="156">
        <f>IF(AND(Assumptions!B54&lt;&gt;"",IFERROR(DATEVALUE(TEXT(Assumptions!B54,"MM/DD/YYYY")),0)&gt;=DATE(2029,12,1),IFERROR(DATEVALUE(TEXT(Assumptions!B54,"MM/DD/YYYY")),0)&lt;=DATE(2029,12,31)),MAX(0,Assumptions!G54-AO10),0)</f>
        <v/>
      </c>
      <c r="AP32" s="156">
        <f>IF(AND(Assumptions!B54&lt;&gt;"",IFERROR(DATEVALUE(TEXT(Assumptions!B54,"MM/DD/YYYY")),0)&gt;=DATE(2030,1,1),IFERROR(DATEVALUE(TEXT(Assumptions!B54,"MM/DD/YYYY")),0)&lt;=DATE(2030,1,31)),MAX(0,Assumptions!G54-AP10),0)</f>
        <v/>
      </c>
      <c r="AQ32" s="156">
        <f>IF(AND(Assumptions!B54&lt;&gt;"",IFERROR(DATEVALUE(TEXT(Assumptions!B54,"MM/DD/YYYY")),0)&gt;=DATE(2030,2,1),IFERROR(DATEVALUE(TEXT(Assumptions!B54,"MM/DD/YYYY")),0)&lt;=DATE(2030,2,28)),MAX(0,Assumptions!G54-AQ10),0)</f>
        <v/>
      </c>
      <c r="AR32" s="156">
        <f>IF(AND(Assumptions!B54&lt;&gt;"",IFERROR(DATEVALUE(TEXT(Assumptions!B54,"MM/DD/YYYY")),0)&gt;=DATE(2030,3,1),IFERROR(DATEVALUE(TEXT(Assumptions!B54,"MM/DD/YYYY")),0)&lt;=DATE(2030,3,31)),MAX(0,Assumptions!G54-AR10),0)</f>
        <v/>
      </c>
      <c r="AS32" s="156">
        <f>IF(AND(Assumptions!B54&lt;&gt;"",IFERROR(DATEVALUE(TEXT(Assumptions!B54,"MM/DD/YYYY")),0)&gt;=DATE(2030,4,1),IFERROR(DATEVALUE(TEXT(Assumptions!B54,"MM/DD/YYYY")),0)&lt;=DATE(2030,4,30)),MAX(0,Assumptions!G54-AS10),0)</f>
        <v/>
      </c>
      <c r="AT32" s="156">
        <f>IF(AND(Assumptions!B54&lt;&gt;"",IFERROR(DATEVALUE(TEXT(Assumptions!B54,"MM/DD/YYYY")),0)&gt;=DATE(2030,5,1),IFERROR(DATEVALUE(TEXT(Assumptions!B54,"MM/DD/YYYY")),0)&lt;=DATE(2030,5,31)),MAX(0,Assumptions!G54-AT10),0)</f>
        <v/>
      </c>
      <c r="AU32" s="156">
        <f>IF(AND(Assumptions!B54&lt;&gt;"",IFERROR(DATEVALUE(TEXT(Assumptions!B54,"MM/DD/YYYY")),0)&gt;=DATE(2030,6,1),IFERROR(DATEVALUE(TEXT(Assumptions!B54,"MM/DD/YYYY")),0)&lt;=DATE(2030,6,30)),MAX(0,Assumptions!G54-AU10),0)</f>
        <v/>
      </c>
      <c r="AV32" s="156">
        <f>IF(AND(Assumptions!B54&lt;&gt;"",IFERROR(DATEVALUE(TEXT(Assumptions!B54,"MM/DD/YYYY")),0)&gt;=DATE(2030,7,1),IFERROR(DATEVALUE(TEXT(Assumptions!B54,"MM/DD/YYYY")),0)&lt;=DATE(2030,7,31)),MAX(0,Assumptions!G54-AV10),0)</f>
        <v/>
      </c>
      <c r="AW32" s="156">
        <f>IF(AND(Assumptions!B54&lt;&gt;"",IFERROR(DATEVALUE(TEXT(Assumptions!B54,"MM/DD/YYYY")),0)&gt;=DATE(2030,8,1),IFERROR(DATEVALUE(TEXT(Assumptions!B54,"MM/DD/YYYY")),0)&lt;=DATE(2030,8,31)),MAX(0,Assumptions!G54-AW10),0)</f>
        <v/>
      </c>
      <c r="AX32" s="156">
        <f>IF(AND(Assumptions!B54&lt;&gt;"",IFERROR(DATEVALUE(TEXT(Assumptions!B54,"MM/DD/YYYY")),0)&gt;=DATE(2030,9,1),IFERROR(DATEVALUE(TEXT(Assumptions!B54,"MM/DD/YYYY")),0)&lt;=DATE(2030,9,30)),MAX(0,Assumptions!G54-AX10),0)</f>
        <v/>
      </c>
      <c r="AY32" s="156">
        <f>IF(AND(Assumptions!B54&lt;&gt;"",IFERROR(DATEVALUE(TEXT(Assumptions!B54,"MM/DD/YYYY")),0)&gt;=DATE(2030,10,1),IFERROR(DATEVALUE(TEXT(Assumptions!B54,"MM/DD/YYYY")),0)&lt;=DATE(2030,10,31)),MAX(0,Assumptions!G54-AY10),0)</f>
        <v/>
      </c>
      <c r="AZ32" s="156">
        <f>IF(AND(Assumptions!B54&lt;&gt;"",IFERROR(DATEVALUE(TEXT(Assumptions!B54,"MM/DD/YYYY")),0)&gt;=DATE(2030,11,1),IFERROR(DATEVALUE(TEXT(Assumptions!B54,"MM/DD/YYYY")),0)&lt;=DATE(2030,11,30)),MAX(0,Assumptions!G54-AZ10),0)</f>
        <v/>
      </c>
      <c r="BA32" s="156">
        <f>IF(AND(Assumptions!B54&lt;&gt;"",IFERROR(DATEVALUE(TEXT(Assumptions!B54,"MM/DD/YYYY")),0)&gt;=DATE(2030,12,1),IFERROR(DATEVALUE(TEXT(Assumptions!B54,"MM/DD/YYYY")),0)&lt;=DATE(2030,12,31)),MAX(0,Assumptions!G54-BA10),0)</f>
        <v/>
      </c>
      <c r="BB32" s="156">
        <f>IF(AND(Assumptions!B54&lt;&gt;"",IFERROR(DATEVALUE(TEXT(Assumptions!B54,"MM/DD/YYYY")),0)&gt;=DATE(2031,1,1),IFERROR(DATEVALUE(TEXT(Assumptions!B54,"MM/DD/YYYY")),0)&lt;=DATE(2031,1,31)),MAX(0,Assumptions!G54-BB10),0)</f>
        <v/>
      </c>
      <c r="BC32" s="156">
        <f>IF(AND(Assumptions!B54&lt;&gt;"",IFERROR(DATEVALUE(TEXT(Assumptions!B54,"MM/DD/YYYY")),0)&gt;=DATE(2031,2,1),IFERROR(DATEVALUE(TEXT(Assumptions!B54,"MM/DD/YYYY")),0)&lt;=DATE(2031,2,28)),MAX(0,Assumptions!G54-BC10),0)</f>
        <v/>
      </c>
      <c r="BD32" s="156">
        <f>IF(AND(Assumptions!B54&lt;&gt;"",IFERROR(DATEVALUE(TEXT(Assumptions!B54,"MM/DD/YYYY")),0)&gt;=DATE(2031,3,1),IFERROR(DATEVALUE(TEXT(Assumptions!B54,"MM/DD/YYYY")),0)&lt;=DATE(2031,3,31)),MAX(0,Assumptions!G54-BD10),0)</f>
        <v/>
      </c>
      <c r="BE32" s="156">
        <f>IF(AND(Assumptions!B54&lt;&gt;"",IFERROR(DATEVALUE(TEXT(Assumptions!B54,"MM/DD/YYYY")),0)&gt;=DATE(2031,4,1),IFERROR(DATEVALUE(TEXT(Assumptions!B54,"MM/DD/YYYY")),0)&lt;=DATE(2031,4,30)),MAX(0,Assumptions!G54-BE10),0)</f>
        <v/>
      </c>
      <c r="BF32" s="156">
        <f>IF(AND(Assumptions!B54&lt;&gt;"",IFERROR(DATEVALUE(TEXT(Assumptions!B54,"MM/DD/YYYY")),0)&gt;=DATE(2031,5,1),IFERROR(DATEVALUE(TEXT(Assumptions!B54,"MM/DD/YYYY")),0)&lt;=DATE(2031,5,31)),MAX(0,Assumptions!G54-BF10),0)</f>
        <v/>
      </c>
      <c r="BG32" s="156">
        <f>IF(AND(Assumptions!B54&lt;&gt;"",IFERROR(DATEVALUE(TEXT(Assumptions!B54,"MM/DD/YYYY")),0)&gt;=DATE(2031,6,1),IFERROR(DATEVALUE(TEXT(Assumptions!B54,"MM/DD/YYYY")),0)&lt;=DATE(2031,6,30)),MAX(0,Assumptions!G54-BG10),0)</f>
        <v/>
      </c>
      <c r="BH32" s="156">
        <f>IF(AND(Assumptions!B54&lt;&gt;"",IFERROR(DATEVALUE(TEXT(Assumptions!B54,"MM/DD/YYYY")),0)&gt;=DATE(2031,7,1),IFERROR(DATEVALUE(TEXT(Assumptions!B54,"MM/DD/YYYY")),0)&lt;=DATE(2031,7,31)),MAX(0,Assumptions!G54-BH10),0)</f>
        <v/>
      </c>
      <c r="BI32" s="156">
        <f>IF(AND(Assumptions!B54&lt;&gt;"",IFERROR(DATEVALUE(TEXT(Assumptions!B54,"MM/DD/YYYY")),0)&gt;=DATE(2031,8,1),IFERROR(DATEVALUE(TEXT(Assumptions!B54,"MM/DD/YYYY")),0)&lt;=DATE(2031,8,31)),MAX(0,Assumptions!G54-BI10),0)</f>
        <v/>
      </c>
      <c r="BJ32" s="156">
        <f>IF(AND(Assumptions!B54&lt;&gt;"",IFERROR(DATEVALUE(TEXT(Assumptions!B54,"MM/DD/YYYY")),0)&gt;=DATE(2031,9,1),IFERROR(DATEVALUE(TEXT(Assumptions!B54,"MM/DD/YYYY")),0)&lt;=DATE(2031,9,30)),MAX(0,Assumptions!G54-BJ10),0)</f>
        <v/>
      </c>
      <c r="BL32" s="157">
        <f>C32+D32+E32+F32+G32+H32+I32+J32+K32+L32+M32+N32</f>
        <v/>
      </c>
      <c r="BM32" s="222" t="n">
        <v>13.87726629650219</v>
      </c>
      <c r="BN32" s="157">
        <f>AA32+AB32+AC32+AD32+AE32+AF32+AG32+AH32+AI32+AJ32+AK32+AL32</f>
        <v/>
      </c>
      <c r="BO32" s="157">
        <f>AM32+AN32+AO32+AP32+AQ32+AR32+AS32+AT32+AU32+AV32+AW32+AX32</f>
        <v/>
      </c>
      <c r="BP32" s="157">
        <f>AY32+AZ32+BA32+BB32+BC32+BD32+BE32+BF32+BG32+BH32+BI32+BJ32</f>
        <v/>
      </c>
    </row>
    <row r="33" ht="15" customHeight="1" s="104">
      <c r="A33" s="107" t="inlineStr">
        <is>
          <t xml:space="preserve">    Add-On 5 Equity Contribution</t>
        </is>
      </c>
      <c r="C33" s="156">
        <f>IF(AND(Assumptions!B55&lt;&gt;"",IFERROR(DATEVALUE(TEXT(Assumptions!B55,"MM/DD/YYYY")),0)&gt;=DATE(2026,10,1),IFERROR(DATEVALUE(TEXT(Assumptions!B55,"MM/DD/YYYY")),0)&lt;=DATE(2026,10,31)),MAX(0,Assumptions!G55-C11),0)</f>
        <v/>
      </c>
      <c r="D33" s="156">
        <f>IF(AND(Assumptions!B55&lt;&gt;"",IFERROR(DATEVALUE(TEXT(Assumptions!B55,"MM/DD/YYYY")),0)&gt;=DATE(2026,11,1),IFERROR(DATEVALUE(TEXT(Assumptions!B55,"MM/DD/YYYY")),0)&lt;=DATE(2026,11,30)),MAX(0,Assumptions!G55-D11),0)</f>
        <v/>
      </c>
      <c r="E33" s="156">
        <f>IF(AND(Assumptions!B55&lt;&gt;"",IFERROR(DATEVALUE(TEXT(Assumptions!B55,"MM/DD/YYYY")),0)&gt;=DATE(2026,12,1),IFERROR(DATEVALUE(TEXT(Assumptions!B55,"MM/DD/YYYY")),0)&lt;=DATE(2026,12,31)),MAX(0,Assumptions!G55-E11),0)</f>
        <v/>
      </c>
      <c r="F33" s="156">
        <f>IF(AND(Assumptions!B55&lt;&gt;"",IFERROR(DATEVALUE(TEXT(Assumptions!B55,"MM/DD/YYYY")),0)&gt;=DATE(2027,1,1),IFERROR(DATEVALUE(TEXT(Assumptions!B55,"MM/DD/YYYY")),0)&lt;=DATE(2027,1,31)),MAX(0,Assumptions!G55-F11),0)</f>
        <v/>
      </c>
      <c r="G33" s="156">
        <f>IF(AND(Assumptions!B55&lt;&gt;"",IFERROR(DATEVALUE(TEXT(Assumptions!B55,"MM/DD/YYYY")),0)&gt;=DATE(2027,2,1),IFERROR(DATEVALUE(TEXT(Assumptions!B55,"MM/DD/YYYY")),0)&lt;=DATE(2027,2,28)),MAX(0,Assumptions!G55-G11),0)</f>
        <v/>
      </c>
      <c r="H33" s="156">
        <f>IF(AND(Assumptions!B55&lt;&gt;"",IFERROR(DATEVALUE(TEXT(Assumptions!B55,"MM/DD/YYYY")),0)&gt;=DATE(2027,3,1),IFERROR(DATEVALUE(TEXT(Assumptions!B55,"MM/DD/YYYY")),0)&lt;=DATE(2027,3,31)),MAX(0,Assumptions!G55-H11),0)</f>
        <v/>
      </c>
      <c r="I33" s="156">
        <f>IF(AND(Assumptions!B55&lt;&gt;"",IFERROR(DATEVALUE(TEXT(Assumptions!B55,"MM/DD/YYYY")),0)&gt;=DATE(2027,4,1),IFERROR(DATEVALUE(TEXT(Assumptions!B55,"MM/DD/YYYY")),0)&lt;=DATE(2027,4,30)),MAX(0,Assumptions!G55-I11),0)</f>
        <v/>
      </c>
      <c r="J33" s="156">
        <f>IF(AND(Assumptions!B55&lt;&gt;"",IFERROR(DATEVALUE(TEXT(Assumptions!B55,"MM/DD/YYYY")),0)&gt;=DATE(2027,5,1),IFERROR(DATEVALUE(TEXT(Assumptions!B55,"MM/DD/YYYY")),0)&lt;=DATE(2027,5,31)),MAX(0,Assumptions!G55-J11),0)</f>
        <v/>
      </c>
      <c r="K33" s="156">
        <f>IF(AND(Assumptions!B55&lt;&gt;"",IFERROR(DATEVALUE(TEXT(Assumptions!B55,"MM/DD/YYYY")),0)&gt;=DATE(2027,6,1),IFERROR(DATEVALUE(TEXT(Assumptions!B55,"MM/DD/YYYY")),0)&lt;=DATE(2027,6,30)),MAX(0,Assumptions!G55-K11),0)</f>
        <v/>
      </c>
      <c r="L33" s="156">
        <f>IF(AND(Assumptions!B55&lt;&gt;"",IFERROR(DATEVALUE(TEXT(Assumptions!B55,"MM/DD/YYYY")),0)&gt;=DATE(2027,7,1),IFERROR(DATEVALUE(TEXT(Assumptions!B55,"MM/DD/YYYY")),0)&lt;=DATE(2027,7,31)),MAX(0,Assumptions!G55-L11),0)</f>
        <v/>
      </c>
      <c r="M33" s="156">
        <f>IF(AND(Assumptions!B55&lt;&gt;"",IFERROR(DATEVALUE(TEXT(Assumptions!B55,"MM/DD/YYYY")),0)&gt;=DATE(2027,8,1),IFERROR(DATEVALUE(TEXT(Assumptions!B55,"MM/DD/YYYY")),0)&lt;=DATE(2027,8,31)),MAX(0,Assumptions!G55-M11),0)</f>
        <v/>
      </c>
      <c r="N33" s="156">
        <f>IF(AND(Assumptions!B55&lt;&gt;"",IFERROR(DATEVALUE(TEXT(Assumptions!B55,"MM/DD/YYYY")),0)&gt;=DATE(2027,9,1),IFERROR(DATEVALUE(TEXT(Assumptions!B55,"MM/DD/YYYY")),0)&lt;=DATE(2027,9,30)),MAX(0,Assumptions!G55-N11),0)</f>
        <v/>
      </c>
      <c r="O33" s="156">
        <f>IF(AND(Assumptions!B55&lt;&gt;"",IFERROR(DATEVALUE(TEXT(Assumptions!B55,"MM/DD/YYYY")),0)&gt;=DATE(2027,10,1),IFERROR(DATEVALUE(TEXT(Assumptions!B55,"MM/DD/YYYY")),0)&lt;=DATE(2027,10,31)),MAX(0,Assumptions!G55-O11),0)</f>
        <v/>
      </c>
      <c r="P33" s="156">
        <f>IF(AND(Assumptions!B55&lt;&gt;"",IFERROR(DATEVALUE(TEXT(Assumptions!B55,"MM/DD/YYYY")),0)&gt;=DATE(2027,11,1),IFERROR(DATEVALUE(TEXT(Assumptions!B55,"MM/DD/YYYY")),0)&lt;=DATE(2027,11,30)),MAX(0,Assumptions!G55-P11),0)</f>
        <v/>
      </c>
      <c r="Q33" s="156">
        <f>IF(AND(Assumptions!B55&lt;&gt;"",IFERROR(DATEVALUE(TEXT(Assumptions!B55,"MM/DD/YYYY")),0)&gt;=DATE(2027,12,1),IFERROR(DATEVALUE(TEXT(Assumptions!B55,"MM/DD/YYYY")),0)&lt;=DATE(2027,12,31)),MAX(0,Assumptions!G55-Q11),0)</f>
        <v/>
      </c>
      <c r="R33" s="156">
        <f>IF(AND(Assumptions!B55&lt;&gt;"",IFERROR(DATEVALUE(TEXT(Assumptions!B55,"MM/DD/YYYY")),0)&gt;=DATE(2028,1,1),IFERROR(DATEVALUE(TEXT(Assumptions!B55,"MM/DD/YYYY")),0)&lt;=DATE(2028,1,31)),MAX(0,Assumptions!G55-R11),0)</f>
        <v/>
      </c>
      <c r="S33" s="156">
        <f>IF(AND(Assumptions!B55&lt;&gt;"",IFERROR(DATEVALUE(TEXT(Assumptions!B55,"MM/DD/YYYY")),0)&gt;=DATE(2028,2,1),IFERROR(DATEVALUE(TEXT(Assumptions!B55,"MM/DD/YYYY")),0)&lt;=DATE(2028,2,29)),MAX(0,Assumptions!G55-S11),0)</f>
        <v/>
      </c>
      <c r="T33" s="156">
        <f>IF(AND(Assumptions!B55&lt;&gt;"",IFERROR(DATEVALUE(TEXT(Assumptions!B55,"MM/DD/YYYY")),0)&gt;=DATE(2028,3,1),IFERROR(DATEVALUE(TEXT(Assumptions!B55,"MM/DD/YYYY")),0)&lt;=DATE(2028,3,31)),MAX(0,Assumptions!G55-T11),0)</f>
        <v/>
      </c>
      <c r="U33" s="221" t="n">
        <v>0</v>
      </c>
      <c r="V33" s="156">
        <f>IF(AND(Assumptions!B55&lt;&gt;"",IFERROR(DATEVALUE(TEXT(Assumptions!B55,"MM/DD/YYYY")),0)&gt;=DATE(2028,5,1),IFERROR(DATEVALUE(TEXT(Assumptions!B55,"MM/DD/YYYY")),0)&lt;=DATE(2028,5,31)),MAX(0,Assumptions!G55-V11),0)</f>
        <v/>
      </c>
      <c r="W33" s="156">
        <f>IF(AND(Assumptions!B55&lt;&gt;"",IFERROR(DATEVALUE(TEXT(Assumptions!B55,"MM/DD/YYYY")),0)&gt;=DATE(2028,6,1),IFERROR(DATEVALUE(TEXT(Assumptions!B55,"MM/DD/YYYY")),0)&lt;=DATE(2028,6,30)),MAX(0,Assumptions!G55-W11),0)</f>
        <v/>
      </c>
      <c r="X33" s="156">
        <f>IF(AND(Assumptions!B55&lt;&gt;"",IFERROR(DATEVALUE(TEXT(Assumptions!B55,"MM/DD/YYYY")),0)&gt;=DATE(2028,7,1),IFERROR(DATEVALUE(TEXT(Assumptions!B55,"MM/DD/YYYY")),0)&lt;=DATE(2028,7,31)),MAX(0,Assumptions!G55-X11),0)</f>
        <v/>
      </c>
      <c r="Y33" s="156">
        <f>IF(AND(Assumptions!B55&lt;&gt;"",IFERROR(DATEVALUE(TEXT(Assumptions!B55,"MM/DD/YYYY")),0)&gt;=DATE(2028,8,1),IFERROR(DATEVALUE(TEXT(Assumptions!B55,"MM/DD/YYYY")),0)&lt;=DATE(2028,8,31)),MAX(0,Assumptions!G55-Y11),0)</f>
        <v/>
      </c>
      <c r="Z33" s="156">
        <f>IF(AND(Assumptions!B55&lt;&gt;"",IFERROR(DATEVALUE(TEXT(Assumptions!B55,"MM/DD/YYYY")),0)&gt;=DATE(2028,9,1),IFERROR(DATEVALUE(TEXT(Assumptions!B55,"MM/DD/YYYY")),0)&lt;=DATE(2028,9,30)),MAX(0,Assumptions!G55-Z11),0)</f>
        <v/>
      </c>
      <c r="AA33" s="156">
        <f>IF(AND(Assumptions!B55&lt;&gt;"",IFERROR(DATEVALUE(TEXT(Assumptions!B55,"MM/DD/YYYY")),0)&gt;=DATE(2028,10,1),IFERROR(DATEVALUE(TEXT(Assumptions!B55,"MM/DD/YYYY")),0)&lt;=DATE(2028,10,31)),MAX(0,Assumptions!G55-AA11),0)</f>
        <v/>
      </c>
      <c r="AB33" s="156">
        <f>IF(AND(Assumptions!B55&lt;&gt;"",IFERROR(DATEVALUE(TEXT(Assumptions!B55,"MM/DD/YYYY")),0)&gt;=DATE(2028,11,1),IFERROR(DATEVALUE(TEXT(Assumptions!B55,"MM/DD/YYYY")),0)&lt;=DATE(2028,11,30)),MAX(0,Assumptions!G55-AB11),0)</f>
        <v/>
      </c>
      <c r="AC33" s="156">
        <f>IF(AND(Assumptions!B55&lt;&gt;"",IFERROR(DATEVALUE(TEXT(Assumptions!B55,"MM/DD/YYYY")),0)&gt;=DATE(2028,12,1),IFERROR(DATEVALUE(TEXT(Assumptions!B55,"MM/DD/YYYY")),0)&lt;=DATE(2028,12,31)),MAX(0,Assumptions!G55-AC11),0)</f>
        <v/>
      </c>
      <c r="AD33" s="156">
        <f>IF(AND(Assumptions!B55&lt;&gt;"",IFERROR(DATEVALUE(TEXT(Assumptions!B55,"MM/DD/YYYY")),0)&gt;=DATE(2029,1,1),IFERROR(DATEVALUE(TEXT(Assumptions!B55,"MM/DD/YYYY")),0)&lt;=DATE(2029,1,31)),MAX(0,Assumptions!G55-AD11),0)</f>
        <v/>
      </c>
      <c r="AE33" s="156">
        <f>IF(AND(Assumptions!B55&lt;&gt;"",IFERROR(DATEVALUE(TEXT(Assumptions!B55,"MM/DD/YYYY")),0)&gt;=DATE(2029,2,1),IFERROR(DATEVALUE(TEXT(Assumptions!B55,"MM/DD/YYYY")),0)&lt;=DATE(2029,2,28)),MAX(0,Assumptions!G55-AE11),0)</f>
        <v/>
      </c>
      <c r="AF33" s="156">
        <f>IF(AND(Assumptions!B55&lt;&gt;"",IFERROR(DATEVALUE(TEXT(Assumptions!B55,"MM/DD/YYYY")),0)&gt;=DATE(2029,3,1),IFERROR(DATEVALUE(TEXT(Assumptions!B55,"MM/DD/YYYY")),0)&lt;=DATE(2029,3,31)),MAX(0,Assumptions!G55-AF11),0)</f>
        <v/>
      </c>
      <c r="AG33" s="156">
        <f>IF(AND(Assumptions!B55&lt;&gt;"",IFERROR(DATEVALUE(TEXT(Assumptions!B55,"MM/DD/YYYY")),0)&gt;=DATE(2029,4,1),IFERROR(DATEVALUE(TEXT(Assumptions!B55,"MM/DD/YYYY")),0)&lt;=DATE(2029,4,30)),MAX(0,Assumptions!G55-AG11),0)</f>
        <v/>
      </c>
      <c r="AH33" s="156">
        <f>IF(AND(Assumptions!B55&lt;&gt;"",IFERROR(DATEVALUE(TEXT(Assumptions!B55,"MM/DD/YYYY")),0)&gt;=DATE(2029,5,1),IFERROR(DATEVALUE(TEXT(Assumptions!B55,"MM/DD/YYYY")),0)&lt;=DATE(2029,5,31)),MAX(0,Assumptions!G55-AH11),0)</f>
        <v/>
      </c>
      <c r="AI33" s="156">
        <f>IF(AND(Assumptions!B55&lt;&gt;"",IFERROR(DATEVALUE(TEXT(Assumptions!B55,"MM/DD/YYYY")),0)&gt;=DATE(2029,6,1),IFERROR(DATEVALUE(TEXT(Assumptions!B55,"MM/DD/YYYY")),0)&lt;=DATE(2029,6,30)),MAX(0,Assumptions!G55-AI11),0)</f>
        <v/>
      </c>
      <c r="AJ33" s="156">
        <f>IF(AND(Assumptions!B55&lt;&gt;"",IFERROR(DATEVALUE(TEXT(Assumptions!B55,"MM/DD/YYYY")),0)&gt;=DATE(2029,7,1),IFERROR(DATEVALUE(TEXT(Assumptions!B55,"MM/DD/YYYY")),0)&lt;=DATE(2029,7,31)),MAX(0,Assumptions!G55-AJ11),0)</f>
        <v/>
      </c>
      <c r="AK33" s="156">
        <f>IF(AND(Assumptions!B55&lt;&gt;"",IFERROR(DATEVALUE(TEXT(Assumptions!B55,"MM/DD/YYYY")),0)&gt;=DATE(2029,8,1),IFERROR(DATEVALUE(TEXT(Assumptions!B55,"MM/DD/YYYY")),0)&lt;=DATE(2029,8,31)),MAX(0,Assumptions!G55-AK11),0)</f>
        <v/>
      </c>
      <c r="AL33" s="156">
        <f>IF(AND(Assumptions!B55&lt;&gt;"",IFERROR(DATEVALUE(TEXT(Assumptions!B55,"MM/DD/YYYY")),0)&gt;=DATE(2029,9,1),IFERROR(DATEVALUE(TEXT(Assumptions!B55,"MM/DD/YYYY")),0)&lt;=DATE(2029,9,30)),MAX(0,Assumptions!G55-AL11),0)</f>
        <v/>
      </c>
      <c r="AM33" s="156">
        <f>IF(AND(Assumptions!B55&lt;&gt;"",IFERROR(DATEVALUE(TEXT(Assumptions!B55,"MM/DD/YYYY")),0)&gt;=DATE(2029,10,1),IFERROR(DATEVALUE(TEXT(Assumptions!B55,"MM/DD/YYYY")),0)&lt;=DATE(2029,10,31)),MAX(0,Assumptions!G55-AM11),0)</f>
        <v/>
      </c>
      <c r="AN33" s="156">
        <f>IF(AND(Assumptions!B55&lt;&gt;"",IFERROR(DATEVALUE(TEXT(Assumptions!B55,"MM/DD/YYYY")),0)&gt;=DATE(2029,11,1),IFERROR(DATEVALUE(TEXT(Assumptions!B55,"MM/DD/YYYY")),0)&lt;=DATE(2029,11,30)),MAX(0,Assumptions!G55-AN11),0)</f>
        <v/>
      </c>
      <c r="AO33" s="156">
        <f>IF(AND(Assumptions!B55&lt;&gt;"",IFERROR(DATEVALUE(TEXT(Assumptions!B55,"MM/DD/YYYY")),0)&gt;=DATE(2029,12,1),IFERROR(DATEVALUE(TEXT(Assumptions!B55,"MM/DD/YYYY")),0)&lt;=DATE(2029,12,31)),MAX(0,Assumptions!G55-AO11),0)</f>
        <v/>
      </c>
      <c r="AP33" s="156">
        <f>IF(AND(Assumptions!B55&lt;&gt;"",IFERROR(DATEVALUE(TEXT(Assumptions!B55,"MM/DD/YYYY")),0)&gt;=DATE(2030,1,1),IFERROR(DATEVALUE(TEXT(Assumptions!B55,"MM/DD/YYYY")),0)&lt;=DATE(2030,1,31)),MAX(0,Assumptions!G55-AP11),0)</f>
        <v/>
      </c>
      <c r="AQ33" s="156">
        <f>IF(AND(Assumptions!B55&lt;&gt;"",IFERROR(DATEVALUE(TEXT(Assumptions!B55,"MM/DD/YYYY")),0)&gt;=DATE(2030,2,1),IFERROR(DATEVALUE(TEXT(Assumptions!B55,"MM/DD/YYYY")),0)&lt;=DATE(2030,2,28)),MAX(0,Assumptions!G55-AQ11),0)</f>
        <v/>
      </c>
      <c r="AR33" s="156">
        <f>IF(AND(Assumptions!B55&lt;&gt;"",IFERROR(DATEVALUE(TEXT(Assumptions!B55,"MM/DD/YYYY")),0)&gt;=DATE(2030,3,1),IFERROR(DATEVALUE(TEXT(Assumptions!B55,"MM/DD/YYYY")),0)&lt;=DATE(2030,3,31)),MAX(0,Assumptions!G55-AR11),0)</f>
        <v/>
      </c>
      <c r="AS33" s="156">
        <f>IF(AND(Assumptions!B55&lt;&gt;"",IFERROR(DATEVALUE(TEXT(Assumptions!B55,"MM/DD/YYYY")),0)&gt;=DATE(2030,4,1),IFERROR(DATEVALUE(TEXT(Assumptions!B55,"MM/DD/YYYY")),0)&lt;=DATE(2030,4,30)),MAX(0,Assumptions!G55-AS11),0)</f>
        <v/>
      </c>
      <c r="AT33" s="156">
        <f>IF(AND(Assumptions!B55&lt;&gt;"",IFERROR(DATEVALUE(TEXT(Assumptions!B55,"MM/DD/YYYY")),0)&gt;=DATE(2030,5,1),IFERROR(DATEVALUE(TEXT(Assumptions!B55,"MM/DD/YYYY")),0)&lt;=DATE(2030,5,31)),MAX(0,Assumptions!G55-AT11),0)</f>
        <v/>
      </c>
      <c r="AU33" s="156">
        <f>IF(AND(Assumptions!B55&lt;&gt;"",IFERROR(DATEVALUE(TEXT(Assumptions!B55,"MM/DD/YYYY")),0)&gt;=DATE(2030,6,1),IFERROR(DATEVALUE(TEXT(Assumptions!B55,"MM/DD/YYYY")),0)&lt;=DATE(2030,6,30)),MAX(0,Assumptions!G55-AU11),0)</f>
        <v/>
      </c>
      <c r="AV33" s="156">
        <f>IF(AND(Assumptions!B55&lt;&gt;"",IFERROR(DATEVALUE(TEXT(Assumptions!B55,"MM/DD/YYYY")),0)&gt;=DATE(2030,7,1),IFERROR(DATEVALUE(TEXT(Assumptions!B55,"MM/DD/YYYY")),0)&lt;=DATE(2030,7,31)),MAX(0,Assumptions!G55-AV11),0)</f>
        <v/>
      </c>
      <c r="AW33" s="156">
        <f>IF(AND(Assumptions!B55&lt;&gt;"",IFERROR(DATEVALUE(TEXT(Assumptions!B55,"MM/DD/YYYY")),0)&gt;=DATE(2030,8,1),IFERROR(DATEVALUE(TEXT(Assumptions!B55,"MM/DD/YYYY")),0)&lt;=DATE(2030,8,31)),MAX(0,Assumptions!G55-AW11),0)</f>
        <v/>
      </c>
      <c r="AX33" s="156">
        <f>IF(AND(Assumptions!B55&lt;&gt;"",IFERROR(DATEVALUE(TEXT(Assumptions!B55,"MM/DD/YYYY")),0)&gt;=DATE(2030,9,1),IFERROR(DATEVALUE(TEXT(Assumptions!B55,"MM/DD/YYYY")),0)&lt;=DATE(2030,9,30)),MAX(0,Assumptions!G55-AX11),0)</f>
        <v/>
      </c>
      <c r="AY33" s="156">
        <f>IF(AND(Assumptions!B55&lt;&gt;"",IFERROR(DATEVALUE(TEXT(Assumptions!B55,"MM/DD/YYYY")),0)&gt;=DATE(2030,10,1),IFERROR(DATEVALUE(TEXT(Assumptions!B55,"MM/DD/YYYY")),0)&lt;=DATE(2030,10,31)),MAX(0,Assumptions!G55-AY11),0)</f>
        <v/>
      </c>
      <c r="AZ33" s="156">
        <f>IF(AND(Assumptions!B55&lt;&gt;"",IFERROR(DATEVALUE(TEXT(Assumptions!B55,"MM/DD/YYYY")),0)&gt;=DATE(2030,11,1),IFERROR(DATEVALUE(TEXT(Assumptions!B55,"MM/DD/YYYY")),0)&lt;=DATE(2030,11,30)),MAX(0,Assumptions!G55-AZ11),0)</f>
        <v/>
      </c>
      <c r="BA33" s="156">
        <f>IF(AND(Assumptions!B55&lt;&gt;"",IFERROR(DATEVALUE(TEXT(Assumptions!B55,"MM/DD/YYYY")),0)&gt;=DATE(2030,12,1),IFERROR(DATEVALUE(TEXT(Assumptions!B55,"MM/DD/YYYY")),0)&lt;=DATE(2030,12,31)),MAX(0,Assumptions!G55-BA11),0)</f>
        <v/>
      </c>
      <c r="BB33" s="156">
        <f>IF(AND(Assumptions!B55&lt;&gt;"",IFERROR(DATEVALUE(TEXT(Assumptions!B55,"MM/DD/YYYY")),0)&gt;=DATE(2031,1,1),IFERROR(DATEVALUE(TEXT(Assumptions!B55,"MM/DD/YYYY")),0)&lt;=DATE(2031,1,31)),MAX(0,Assumptions!G55-BB11),0)</f>
        <v/>
      </c>
      <c r="BC33" s="156">
        <f>IF(AND(Assumptions!B55&lt;&gt;"",IFERROR(DATEVALUE(TEXT(Assumptions!B55,"MM/DD/YYYY")),0)&gt;=DATE(2031,2,1),IFERROR(DATEVALUE(TEXT(Assumptions!B55,"MM/DD/YYYY")),0)&lt;=DATE(2031,2,28)),MAX(0,Assumptions!G55-BC11),0)</f>
        <v/>
      </c>
      <c r="BD33" s="156">
        <f>IF(AND(Assumptions!B55&lt;&gt;"",IFERROR(DATEVALUE(TEXT(Assumptions!B55,"MM/DD/YYYY")),0)&gt;=DATE(2031,3,1),IFERROR(DATEVALUE(TEXT(Assumptions!B55,"MM/DD/YYYY")),0)&lt;=DATE(2031,3,31)),MAX(0,Assumptions!G55-BD11),0)</f>
        <v/>
      </c>
      <c r="BE33" s="156">
        <f>IF(AND(Assumptions!B55&lt;&gt;"",IFERROR(DATEVALUE(TEXT(Assumptions!B55,"MM/DD/YYYY")),0)&gt;=DATE(2031,4,1),IFERROR(DATEVALUE(TEXT(Assumptions!B55,"MM/DD/YYYY")),0)&lt;=DATE(2031,4,30)),MAX(0,Assumptions!G55-BE11),0)</f>
        <v/>
      </c>
      <c r="BF33" s="156">
        <f>IF(AND(Assumptions!B55&lt;&gt;"",IFERROR(DATEVALUE(TEXT(Assumptions!B55,"MM/DD/YYYY")),0)&gt;=DATE(2031,5,1),IFERROR(DATEVALUE(TEXT(Assumptions!B55,"MM/DD/YYYY")),0)&lt;=DATE(2031,5,31)),MAX(0,Assumptions!G55-BF11),0)</f>
        <v/>
      </c>
      <c r="BG33" s="156">
        <f>IF(AND(Assumptions!B55&lt;&gt;"",IFERROR(DATEVALUE(TEXT(Assumptions!B55,"MM/DD/YYYY")),0)&gt;=DATE(2031,6,1),IFERROR(DATEVALUE(TEXT(Assumptions!B55,"MM/DD/YYYY")),0)&lt;=DATE(2031,6,30)),MAX(0,Assumptions!G55-BG11),0)</f>
        <v/>
      </c>
      <c r="BH33" s="156">
        <f>IF(AND(Assumptions!B55&lt;&gt;"",IFERROR(DATEVALUE(TEXT(Assumptions!B55,"MM/DD/YYYY")),0)&gt;=DATE(2031,7,1),IFERROR(DATEVALUE(TEXT(Assumptions!B55,"MM/DD/YYYY")),0)&lt;=DATE(2031,7,31)),MAX(0,Assumptions!G55-BH11),0)</f>
        <v/>
      </c>
      <c r="BI33" s="156">
        <f>IF(AND(Assumptions!B55&lt;&gt;"",IFERROR(DATEVALUE(TEXT(Assumptions!B55,"MM/DD/YYYY")),0)&gt;=DATE(2031,8,1),IFERROR(DATEVALUE(TEXT(Assumptions!B55,"MM/DD/YYYY")),0)&lt;=DATE(2031,8,31)),MAX(0,Assumptions!G55-BI11),0)</f>
        <v/>
      </c>
      <c r="BJ33" s="156">
        <f>IF(AND(Assumptions!B55&lt;&gt;"",IFERROR(DATEVALUE(TEXT(Assumptions!B55,"MM/DD/YYYY")),0)&gt;=DATE(2031,9,1),IFERROR(DATEVALUE(TEXT(Assumptions!B55,"MM/DD/YYYY")),0)&lt;=DATE(2031,9,30)),MAX(0,Assumptions!G55-BJ11),0)</f>
        <v/>
      </c>
      <c r="BL33" s="157">
        <f>C33+D33+E33+F33+G33+H33+I33+J33+K33+L33+M33+N33</f>
        <v/>
      </c>
      <c r="BM33" s="222" t="n">
        <v>0</v>
      </c>
      <c r="BN33" s="157">
        <f>AA33+AB33+AC33+AD33+AE33+AF33+AG33+AH33+AI33+AJ33+AK33+AL33</f>
        <v/>
      </c>
      <c r="BO33" s="157">
        <f>AM33+AN33+AO33+AP33+AQ33+AR33+AS33+AT33+AU33+AV33+AW33+AX33</f>
        <v/>
      </c>
      <c r="BP33" s="157">
        <f>AY33+AZ33+BA33+BB33+BC33+BD33+BE33+BF33+BG33+BH33+BI33+BJ33</f>
        <v/>
      </c>
    </row>
    <row r="34" ht="15" customHeight="1" s="104">
      <c r="A34" s="107" t="inlineStr">
        <is>
          <t xml:space="preserve">    Add-On 6 Equity Contribution</t>
        </is>
      </c>
      <c r="C34" s="156">
        <f>IF(AND(Assumptions!B56&lt;&gt;"",IFERROR(DATEVALUE(TEXT(Assumptions!B56,"MM/DD/YYYY")),0)&gt;=DATE(2026,10,1),IFERROR(DATEVALUE(TEXT(Assumptions!B56,"MM/DD/YYYY")),0)&lt;=DATE(2026,10,31)),MAX(0,Assumptions!G56-C12),0)</f>
        <v/>
      </c>
      <c r="D34" s="156">
        <f>IF(AND(Assumptions!B56&lt;&gt;"",IFERROR(DATEVALUE(TEXT(Assumptions!B56,"MM/DD/YYYY")),0)&gt;=DATE(2026,11,1),IFERROR(DATEVALUE(TEXT(Assumptions!B56,"MM/DD/YYYY")),0)&lt;=DATE(2026,11,30)),MAX(0,Assumptions!G56-D12),0)</f>
        <v/>
      </c>
      <c r="E34" s="156">
        <f>IF(AND(Assumptions!B56&lt;&gt;"",IFERROR(DATEVALUE(TEXT(Assumptions!B56,"MM/DD/YYYY")),0)&gt;=DATE(2026,12,1),IFERROR(DATEVALUE(TEXT(Assumptions!B56,"MM/DD/YYYY")),0)&lt;=DATE(2026,12,31)),MAX(0,Assumptions!G56-E12),0)</f>
        <v/>
      </c>
      <c r="F34" s="156">
        <f>IF(AND(Assumptions!B56&lt;&gt;"",IFERROR(DATEVALUE(TEXT(Assumptions!B56,"MM/DD/YYYY")),0)&gt;=DATE(2027,1,1),IFERROR(DATEVALUE(TEXT(Assumptions!B56,"MM/DD/YYYY")),0)&lt;=DATE(2027,1,31)),MAX(0,Assumptions!G56-F12),0)</f>
        <v/>
      </c>
      <c r="G34" s="156">
        <f>IF(AND(Assumptions!B56&lt;&gt;"",IFERROR(DATEVALUE(TEXT(Assumptions!B56,"MM/DD/YYYY")),0)&gt;=DATE(2027,2,1),IFERROR(DATEVALUE(TEXT(Assumptions!B56,"MM/DD/YYYY")),0)&lt;=DATE(2027,2,28)),MAX(0,Assumptions!G56-G12),0)</f>
        <v/>
      </c>
      <c r="H34" s="156">
        <f>IF(AND(Assumptions!B56&lt;&gt;"",IFERROR(DATEVALUE(TEXT(Assumptions!B56,"MM/DD/YYYY")),0)&gt;=DATE(2027,3,1),IFERROR(DATEVALUE(TEXT(Assumptions!B56,"MM/DD/YYYY")),0)&lt;=DATE(2027,3,31)),MAX(0,Assumptions!G56-H12),0)</f>
        <v/>
      </c>
      <c r="I34" s="156">
        <f>IF(AND(Assumptions!B56&lt;&gt;"",IFERROR(DATEVALUE(TEXT(Assumptions!B56,"MM/DD/YYYY")),0)&gt;=DATE(2027,4,1),IFERROR(DATEVALUE(TEXT(Assumptions!B56,"MM/DD/YYYY")),0)&lt;=DATE(2027,4,30)),MAX(0,Assumptions!G56-I12),0)</f>
        <v/>
      </c>
      <c r="J34" s="156">
        <f>IF(AND(Assumptions!B56&lt;&gt;"",IFERROR(DATEVALUE(TEXT(Assumptions!B56,"MM/DD/YYYY")),0)&gt;=DATE(2027,5,1),IFERROR(DATEVALUE(TEXT(Assumptions!B56,"MM/DD/YYYY")),0)&lt;=DATE(2027,5,31)),MAX(0,Assumptions!G56-J12),0)</f>
        <v/>
      </c>
      <c r="K34" s="156">
        <f>IF(AND(Assumptions!B56&lt;&gt;"",IFERROR(DATEVALUE(TEXT(Assumptions!B56,"MM/DD/YYYY")),0)&gt;=DATE(2027,6,1),IFERROR(DATEVALUE(TEXT(Assumptions!B56,"MM/DD/YYYY")),0)&lt;=DATE(2027,6,30)),MAX(0,Assumptions!G56-K12),0)</f>
        <v/>
      </c>
      <c r="L34" s="156">
        <f>IF(AND(Assumptions!B56&lt;&gt;"",IFERROR(DATEVALUE(TEXT(Assumptions!B56,"MM/DD/YYYY")),0)&gt;=DATE(2027,7,1),IFERROR(DATEVALUE(TEXT(Assumptions!B56,"MM/DD/YYYY")),0)&lt;=DATE(2027,7,31)),MAX(0,Assumptions!G56-L12),0)</f>
        <v/>
      </c>
      <c r="M34" s="156">
        <f>IF(AND(Assumptions!B56&lt;&gt;"",IFERROR(DATEVALUE(TEXT(Assumptions!B56,"MM/DD/YYYY")),0)&gt;=DATE(2027,8,1),IFERROR(DATEVALUE(TEXT(Assumptions!B56,"MM/DD/YYYY")),0)&lt;=DATE(2027,8,31)),MAX(0,Assumptions!G56-M12),0)</f>
        <v/>
      </c>
      <c r="N34" s="156">
        <f>IF(AND(Assumptions!B56&lt;&gt;"",IFERROR(DATEVALUE(TEXT(Assumptions!B56,"MM/DD/YYYY")),0)&gt;=DATE(2027,9,1),IFERROR(DATEVALUE(TEXT(Assumptions!B56,"MM/DD/YYYY")),0)&lt;=DATE(2027,9,30)),MAX(0,Assumptions!G56-N12),0)</f>
        <v/>
      </c>
      <c r="O34" s="156">
        <f>IF(AND(Assumptions!B56&lt;&gt;"",IFERROR(DATEVALUE(TEXT(Assumptions!B56,"MM/DD/YYYY")),0)&gt;=DATE(2027,10,1),IFERROR(DATEVALUE(TEXT(Assumptions!B56,"MM/DD/YYYY")),0)&lt;=DATE(2027,10,31)),MAX(0,Assumptions!G56-O12),0)</f>
        <v/>
      </c>
      <c r="P34" s="156">
        <f>IF(AND(Assumptions!B56&lt;&gt;"",IFERROR(DATEVALUE(TEXT(Assumptions!B56,"MM/DD/YYYY")),0)&gt;=DATE(2027,11,1),IFERROR(DATEVALUE(TEXT(Assumptions!B56,"MM/DD/YYYY")),0)&lt;=DATE(2027,11,30)),MAX(0,Assumptions!G56-P12),0)</f>
        <v/>
      </c>
      <c r="Q34" s="156">
        <f>IF(AND(Assumptions!B56&lt;&gt;"",IFERROR(DATEVALUE(TEXT(Assumptions!B56,"MM/DD/YYYY")),0)&gt;=DATE(2027,12,1),IFERROR(DATEVALUE(TEXT(Assumptions!B56,"MM/DD/YYYY")),0)&lt;=DATE(2027,12,31)),MAX(0,Assumptions!G56-Q12),0)</f>
        <v/>
      </c>
      <c r="R34" s="156">
        <f>IF(AND(Assumptions!B56&lt;&gt;"",IFERROR(DATEVALUE(TEXT(Assumptions!B56,"MM/DD/YYYY")),0)&gt;=DATE(2028,1,1),IFERROR(DATEVALUE(TEXT(Assumptions!B56,"MM/DD/YYYY")),0)&lt;=DATE(2028,1,31)),MAX(0,Assumptions!G56-R12),0)</f>
        <v/>
      </c>
      <c r="S34" s="156">
        <f>IF(AND(Assumptions!B56&lt;&gt;"",IFERROR(DATEVALUE(TEXT(Assumptions!B56,"MM/DD/YYYY")),0)&gt;=DATE(2028,2,1),IFERROR(DATEVALUE(TEXT(Assumptions!B56,"MM/DD/YYYY")),0)&lt;=DATE(2028,2,29)),MAX(0,Assumptions!G56-S12),0)</f>
        <v/>
      </c>
      <c r="T34" s="156">
        <f>IF(AND(Assumptions!B56&lt;&gt;"",IFERROR(DATEVALUE(TEXT(Assumptions!B56,"MM/DD/YYYY")),0)&gt;=DATE(2028,3,1),IFERROR(DATEVALUE(TEXT(Assumptions!B56,"MM/DD/YYYY")),0)&lt;=DATE(2028,3,31)),MAX(0,Assumptions!G56-T12),0)</f>
        <v/>
      </c>
      <c r="U34" s="156">
        <f>IF(AND(Assumptions!B56&lt;&gt;"",IFERROR(DATEVALUE(TEXT(Assumptions!B56,"MM/DD/YYYY")),0)&gt;=DATE(2028,4,1),IFERROR(DATEVALUE(TEXT(Assumptions!B56,"MM/DD/YYYY")),0)&lt;=DATE(2028,4,30)),MAX(0,Assumptions!G56-U12),0)</f>
        <v/>
      </c>
      <c r="V34" s="156">
        <f>IF(AND(Assumptions!B56&lt;&gt;"",IFERROR(DATEVALUE(TEXT(Assumptions!B56,"MM/DD/YYYY")),0)&gt;=DATE(2028,5,1),IFERROR(DATEVALUE(TEXT(Assumptions!B56,"MM/DD/YYYY")),0)&lt;=DATE(2028,5,31)),MAX(0,Assumptions!G56-V12),0)</f>
        <v/>
      </c>
      <c r="W34" s="156">
        <f>IF(AND(Assumptions!B56&lt;&gt;"",IFERROR(DATEVALUE(TEXT(Assumptions!B56,"MM/DD/YYYY")),0)&gt;=DATE(2028,6,1),IFERROR(DATEVALUE(TEXT(Assumptions!B56,"MM/DD/YYYY")),0)&lt;=DATE(2028,6,30)),MAX(0,Assumptions!G56-W12),0)</f>
        <v/>
      </c>
      <c r="X34" s="156">
        <f>IF(AND(Assumptions!B56&lt;&gt;"",IFERROR(DATEVALUE(TEXT(Assumptions!B56,"MM/DD/YYYY")),0)&gt;=DATE(2028,7,1),IFERROR(DATEVALUE(TEXT(Assumptions!B56,"MM/DD/YYYY")),0)&lt;=DATE(2028,7,31)),MAX(0,Assumptions!G56-X12),0)</f>
        <v/>
      </c>
      <c r="Y34" s="156">
        <f>IF(AND(Assumptions!B56&lt;&gt;"",IFERROR(DATEVALUE(TEXT(Assumptions!B56,"MM/DD/YYYY")),0)&gt;=DATE(2028,8,1),IFERROR(DATEVALUE(TEXT(Assumptions!B56,"MM/DD/YYYY")),0)&lt;=DATE(2028,8,31)),MAX(0,Assumptions!G56-Y12),0)</f>
        <v/>
      </c>
      <c r="Z34" s="156">
        <f>IF(AND(Assumptions!B56&lt;&gt;"",IFERROR(DATEVALUE(TEXT(Assumptions!B56,"MM/DD/YYYY")),0)&gt;=DATE(2028,9,1),IFERROR(DATEVALUE(TEXT(Assumptions!B56,"MM/DD/YYYY")),0)&lt;=DATE(2028,9,30)),MAX(0,Assumptions!G56-Z12),0)</f>
        <v/>
      </c>
      <c r="AA34" s="221" t="n">
        <v>0</v>
      </c>
      <c r="AB34" s="156">
        <f>IF(AND(Assumptions!B56&lt;&gt;"",IFERROR(DATEVALUE(TEXT(Assumptions!B56,"MM/DD/YYYY")),0)&gt;=DATE(2028,11,1),IFERROR(DATEVALUE(TEXT(Assumptions!B56,"MM/DD/YYYY")),0)&lt;=DATE(2028,11,30)),MAX(0,Assumptions!G56-AB12),0)</f>
        <v/>
      </c>
      <c r="AC34" s="156">
        <f>IF(AND(Assumptions!B56&lt;&gt;"",IFERROR(DATEVALUE(TEXT(Assumptions!B56,"MM/DD/YYYY")),0)&gt;=DATE(2028,12,1),IFERROR(DATEVALUE(TEXT(Assumptions!B56,"MM/DD/YYYY")),0)&lt;=DATE(2028,12,31)),MAX(0,Assumptions!G56-AC12),0)</f>
        <v/>
      </c>
      <c r="AD34" s="156">
        <f>IF(AND(Assumptions!B56&lt;&gt;"",IFERROR(DATEVALUE(TEXT(Assumptions!B56,"MM/DD/YYYY")),0)&gt;=DATE(2029,1,1),IFERROR(DATEVALUE(TEXT(Assumptions!B56,"MM/DD/YYYY")),0)&lt;=DATE(2029,1,31)),MAX(0,Assumptions!G56-AD12),0)</f>
        <v/>
      </c>
      <c r="AE34" s="156">
        <f>IF(AND(Assumptions!B56&lt;&gt;"",IFERROR(DATEVALUE(TEXT(Assumptions!B56,"MM/DD/YYYY")),0)&gt;=DATE(2029,2,1),IFERROR(DATEVALUE(TEXT(Assumptions!B56,"MM/DD/YYYY")),0)&lt;=DATE(2029,2,28)),MAX(0,Assumptions!G56-AE12),0)</f>
        <v/>
      </c>
      <c r="AF34" s="156">
        <f>IF(AND(Assumptions!B56&lt;&gt;"",IFERROR(DATEVALUE(TEXT(Assumptions!B56,"MM/DD/YYYY")),0)&gt;=DATE(2029,3,1),IFERROR(DATEVALUE(TEXT(Assumptions!B56,"MM/DD/YYYY")),0)&lt;=DATE(2029,3,31)),MAX(0,Assumptions!G56-AF12),0)</f>
        <v/>
      </c>
      <c r="AG34" s="156">
        <f>IF(AND(Assumptions!B56&lt;&gt;"",IFERROR(DATEVALUE(TEXT(Assumptions!B56,"MM/DD/YYYY")),0)&gt;=DATE(2029,4,1),IFERROR(DATEVALUE(TEXT(Assumptions!B56,"MM/DD/YYYY")),0)&lt;=DATE(2029,4,30)),MAX(0,Assumptions!G56-AG12),0)</f>
        <v/>
      </c>
      <c r="AH34" s="156">
        <f>IF(AND(Assumptions!B56&lt;&gt;"",IFERROR(DATEVALUE(TEXT(Assumptions!B56,"MM/DD/YYYY")),0)&gt;=DATE(2029,5,1),IFERROR(DATEVALUE(TEXT(Assumptions!B56,"MM/DD/YYYY")),0)&lt;=DATE(2029,5,31)),MAX(0,Assumptions!G56-AH12),0)</f>
        <v/>
      </c>
      <c r="AI34" s="156">
        <f>IF(AND(Assumptions!B56&lt;&gt;"",IFERROR(DATEVALUE(TEXT(Assumptions!B56,"MM/DD/YYYY")),0)&gt;=DATE(2029,6,1),IFERROR(DATEVALUE(TEXT(Assumptions!B56,"MM/DD/YYYY")),0)&lt;=DATE(2029,6,30)),MAX(0,Assumptions!G56-AI12),0)</f>
        <v/>
      </c>
      <c r="AJ34" s="156">
        <f>IF(AND(Assumptions!B56&lt;&gt;"",IFERROR(DATEVALUE(TEXT(Assumptions!B56,"MM/DD/YYYY")),0)&gt;=DATE(2029,7,1),IFERROR(DATEVALUE(TEXT(Assumptions!B56,"MM/DD/YYYY")),0)&lt;=DATE(2029,7,31)),MAX(0,Assumptions!G56-AJ12),0)</f>
        <v/>
      </c>
      <c r="AK34" s="156">
        <f>IF(AND(Assumptions!B56&lt;&gt;"",IFERROR(DATEVALUE(TEXT(Assumptions!B56,"MM/DD/YYYY")),0)&gt;=DATE(2029,8,1),IFERROR(DATEVALUE(TEXT(Assumptions!B56,"MM/DD/YYYY")),0)&lt;=DATE(2029,8,31)),MAX(0,Assumptions!G56-AK12),0)</f>
        <v/>
      </c>
      <c r="AL34" s="156">
        <f>IF(AND(Assumptions!B56&lt;&gt;"",IFERROR(DATEVALUE(TEXT(Assumptions!B56,"MM/DD/YYYY")),0)&gt;=DATE(2029,9,1),IFERROR(DATEVALUE(TEXT(Assumptions!B56,"MM/DD/YYYY")),0)&lt;=DATE(2029,9,30)),MAX(0,Assumptions!G56-AL12),0)</f>
        <v/>
      </c>
      <c r="AM34" s="156">
        <f>IF(AND(Assumptions!B56&lt;&gt;"",IFERROR(DATEVALUE(TEXT(Assumptions!B56,"MM/DD/YYYY")),0)&gt;=DATE(2029,10,1),IFERROR(DATEVALUE(TEXT(Assumptions!B56,"MM/DD/YYYY")),0)&lt;=DATE(2029,10,31)),MAX(0,Assumptions!G56-AM12),0)</f>
        <v/>
      </c>
      <c r="AN34" s="156">
        <f>IF(AND(Assumptions!B56&lt;&gt;"",IFERROR(DATEVALUE(TEXT(Assumptions!B56,"MM/DD/YYYY")),0)&gt;=DATE(2029,11,1),IFERROR(DATEVALUE(TEXT(Assumptions!B56,"MM/DD/YYYY")),0)&lt;=DATE(2029,11,30)),MAX(0,Assumptions!G56-AN12),0)</f>
        <v/>
      </c>
      <c r="AO34" s="156">
        <f>IF(AND(Assumptions!B56&lt;&gt;"",IFERROR(DATEVALUE(TEXT(Assumptions!B56,"MM/DD/YYYY")),0)&gt;=DATE(2029,12,1),IFERROR(DATEVALUE(TEXT(Assumptions!B56,"MM/DD/YYYY")),0)&lt;=DATE(2029,12,31)),MAX(0,Assumptions!G56-AO12),0)</f>
        <v/>
      </c>
      <c r="AP34" s="156">
        <f>IF(AND(Assumptions!B56&lt;&gt;"",IFERROR(DATEVALUE(TEXT(Assumptions!B56,"MM/DD/YYYY")),0)&gt;=DATE(2030,1,1),IFERROR(DATEVALUE(TEXT(Assumptions!B56,"MM/DD/YYYY")),0)&lt;=DATE(2030,1,31)),MAX(0,Assumptions!G56-AP12),0)</f>
        <v/>
      </c>
      <c r="AQ34" s="156">
        <f>IF(AND(Assumptions!B56&lt;&gt;"",IFERROR(DATEVALUE(TEXT(Assumptions!B56,"MM/DD/YYYY")),0)&gt;=DATE(2030,2,1),IFERROR(DATEVALUE(TEXT(Assumptions!B56,"MM/DD/YYYY")),0)&lt;=DATE(2030,2,28)),MAX(0,Assumptions!G56-AQ12),0)</f>
        <v/>
      </c>
      <c r="AR34" s="156">
        <f>IF(AND(Assumptions!B56&lt;&gt;"",IFERROR(DATEVALUE(TEXT(Assumptions!B56,"MM/DD/YYYY")),0)&gt;=DATE(2030,3,1),IFERROR(DATEVALUE(TEXT(Assumptions!B56,"MM/DD/YYYY")),0)&lt;=DATE(2030,3,31)),MAX(0,Assumptions!G56-AR12),0)</f>
        <v/>
      </c>
      <c r="AS34" s="156">
        <f>IF(AND(Assumptions!B56&lt;&gt;"",IFERROR(DATEVALUE(TEXT(Assumptions!B56,"MM/DD/YYYY")),0)&gt;=DATE(2030,4,1),IFERROR(DATEVALUE(TEXT(Assumptions!B56,"MM/DD/YYYY")),0)&lt;=DATE(2030,4,30)),MAX(0,Assumptions!G56-AS12),0)</f>
        <v/>
      </c>
      <c r="AT34" s="156">
        <f>IF(AND(Assumptions!B56&lt;&gt;"",IFERROR(DATEVALUE(TEXT(Assumptions!B56,"MM/DD/YYYY")),0)&gt;=DATE(2030,5,1),IFERROR(DATEVALUE(TEXT(Assumptions!B56,"MM/DD/YYYY")),0)&lt;=DATE(2030,5,31)),MAX(0,Assumptions!G56-AT12),0)</f>
        <v/>
      </c>
      <c r="AU34" s="156">
        <f>IF(AND(Assumptions!B56&lt;&gt;"",IFERROR(DATEVALUE(TEXT(Assumptions!B56,"MM/DD/YYYY")),0)&gt;=DATE(2030,6,1),IFERROR(DATEVALUE(TEXT(Assumptions!B56,"MM/DD/YYYY")),0)&lt;=DATE(2030,6,30)),MAX(0,Assumptions!G56-AU12),0)</f>
        <v/>
      </c>
      <c r="AV34" s="156">
        <f>IF(AND(Assumptions!B56&lt;&gt;"",IFERROR(DATEVALUE(TEXT(Assumptions!B56,"MM/DD/YYYY")),0)&gt;=DATE(2030,7,1),IFERROR(DATEVALUE(TEXT(Assumptions!B56,"MM/DD/YYYY")),0)&lt;=DATE(2030,7,31)),MAX(0,Assumptions!G56-AV12),0)</f>
        <v/>
      </c>
      <c r="AW34" s="156">
        <f>IF(AND(Assumptions!B56&lt;&gt;"",IFERROR(DATEVALUE(TEXT(Assumptions!B56,"MM/DD/YYYY")),0)&gt;=DATE(2030,8,1),IFERROR(DATEVALUE(TEXT(Assumptions!B56,"MM/DD/YYYY")),0)&lt;=DATE(2030,8,31)),MAX(0,Assumptions!G56-AW12),0)</f>
        <v/>
      </c>
      <c r="AX34" s="156">
        <f>IF(AND(Assumptions!B56&lt;&gt;"",IFERROR(DATEVALUE(TEXT(Assumptions!B56,"MM/DD/YYYY")),0)&gt;=DATE(2030,9,1),IFERROR(DATEVALUE(TEXT(Assumptions!B56,"MM/DD/YYYY")),0)&lt;=DATE(2030,9,30)),MAX(0,Assumptions!G56-AX12),0)</f>
        <v/>
      </c>
      <c r="AY34" s="156">
        <f>IF(AND(Assumptions!B56&lt;&gt;"",IFERROR(DATEVALUE(TEXT(Assumptions!B56,"MM/DD/YYYY")),0)&gt;=DATE(2030,10,1),IFERROR(DATEVALUE(TEXT(Assumptions!B56,"MM/DD/YYYY")),0)&lt;=DATE(2030,10,31)),MAX(0,Assumptions!G56-AY12),0)</f>
        <v/>
      </c>
      <c r="AZ34" s="156">
        <f>IF(AND(Assumptions!B56&lt;&gt;"",IFERROR(DATEVALUE(TEXT(Assumptions!B56,"MM/DD/YYYY")),0)&gt;=DATE(2030,11,1),IFERROR(DATEVALUE(TEXT(Assumptions!B56,"MM/DD/YYYY")),0)&lt;=DATE(2030,11,30)),MAX(0,Assumptions!G56-AZ12),0)</f>
        <v/>
      </c>
      <c r="BA34" s="156">
        <f>IF(AND(Assumptions!B56&lt;&gt;"",IFERROR(DATEVALUE(TEXT(Assumptions!B56,"MM/DD/YYYY")),0)&gt;=DATE(2030,12,1),IFERROR(DATEVALUE(TEXT(Assumptions!B56,"MM/DD/YYYY")),0)&lt;=DATE(2030,12,31)),MAX(0,Assumptions!G56-BA12),0)</f>
        <v/>
      </c>
      <c r="BB34" s="156">
        <f>IF(AND(Assumptions!B56&lt;&gt;"",IFERROR(DATEVALUE(TEXT(Assumptions!B56,"MM/DD/YYYY")),0)&gt;=DATE(2031,1,1),IFERROR(DATEVALUE(TEXT(Assumptions!B56,"MM/DD/YYYY")),0)&lt;=DATE(2031,1,31)),MAX(0,Assumptions!G56-BB12),0)</f>
        <v/>
      </c>
      <c r="BC34" s="156">
        <f>IF(AND(Assumptions!B56&lt;&gt;"",IFERROR(DATEVALUE(TEXT(Assumptions!B56,"MM/DD/YYYY")),0)&gt;=DATE(2031,2,1),IFERROR(DATEVALUE(TEXT(Assumptions!B56,"MM/DD/YYYY")),0)&lt;=DATE(2031,2,28)),MAX(0,Assumptions!G56-BC12),0)</f>
        <v/>
      </c>
      <c r="BD34" s="156">
        <f>IF(AND(Assumptions!B56&lt;&gt;"",IFERROR(DATEVALUE(TEXT(Assumptions!B56,"MM/DD/YYYY")),0)&gt;=DATE(2031,3,1),IFERROR(DATEVALUE(TEXT(Assumptions!B56,"MM/DD/YYYY")),0)&lt;=DATE(2031,3,31)),MAX(0,Assumptions!G56-BD12),0)</f>
        <v/>
      </c>
      <c r="BE34" s="156">
        <f>IF(AND(Assumptions!B56&lt;&gt;"",IFERROR(DATEVALUE(TEXT(Assumptions!B56,"MM/DD/YYYY")),0)&gt;=DATE(2031,4,1),IFERROR(DATEVALUE(TEXT(Assumptions!B56,"MM/DD/YYYY")),0)&lt;=DATE(2031,4,30)),MAX(0,Assumptions!G56-BE12),0)</f>
        <v/>
      </c>
      <c r="BF34" s="156">
        <f>IF(AND(Assumptions!B56&lt;&gt;"",IFERROR(DATEVALUE(TEXT(Assumptions!B56,"MM/DD/YYYY")),0)&gt;=DATE(2031,5,1),IFERROR(DATEVALUE(TEXT(Assumptions!B56,"MM/DD/YYYY")),0)&lt;=DATE(2031,5,31)),MAX(0,Assumptions!G56-BF12),0)</f>
        <v/>
      </c>
      <c r="BG34" s="156">
        <f>IF(AND(Assumptions!B56&lt;&gt;"",IFERROR(DATEVALUE(TEXT(Assumptions!B56,"MM/DD/YYYY")),0)&gt;=DATE(2031,6,1),IFERROR(DATEVALUE(TEXT(Assumptions!B56,"MM/DD/YYYY")),0)&lt;=DATE(2031,6,30)),MAX(0,Assumptions!G56-BG12),0)</f>
        <v/>
      </c>
      <c r="BH34" s="156">
        <f>IF(AND(Assumptions!B56&lt;&gt;"",IFERROR(DATEVALUE(TEXT(Assumptions!B56,"MM/DD/YYYY")),0)&gt;=DATE(2031,7,1),IFERROR(DATEVALUE(TEXT(Assumptions!B56,"MM/DD/YYYY")),0)&lt;=DATE(2031,7,31)),MAX(0,Assumptions!G56-BH12),0)</f>
        <v/>
      </c>
      <c r="BI34" s="156">
        <f>IF(AND(Assumptions!B56&lt;&gt;"",IFERROR(DATEVALUE(TEXT(Assumptions!B56,"MM/DD/YYYY")),0)&gt;=DATE(2031,8,1),IFERROR(DATEVALUE(TEXT(Assumptions!B56,"MM/DD/YYYY")),0)&lt;=DATE(2031,8,31)),MAX(0,Assumptions!G56-BI12),0)</f>
        <v/>
      </c>
      <c r="BJ34" s="156">
        <f>IF(AND(Assumptions!B56&lt;&gt;"",IFERROR(DATEVALUE(TEXT(Assumptions!B56,"MM/DD/YYYY")),0)&gt;=DATE(2031,9,1),IFERROR(DATEVALUE(TEXT(Assumptions!B56,"MM/DD/YYYY")),0)&lt;=DATE(2031,9,30)),MAX(0,Assumptions!G56-BJ12),0)</f>
        <v/>
      </c>
      <c r="BL34" s="157">
        <f>C34+D34+E34+F34+G34+H34+I34+J34+K34+L34+M34+N34</f>
        <v/>
      </c>
      <c r="BM34" s="157">
        <f>O34+P34+Q34+R34+S34+T34+U34+V34+W34+X34+Y34+Z34</f>
        <v/>
      </c>
      <c r="BN34" s="222" t="n">
        <v>0</v>
      </c>
      <c r="BO34" s="157">
        <f>AM34+AN34+AO34+AP34+AQ34+AR34+AS34+AT34+AU34+AV34+AW34+AX34</f>
        <v/>
      </c>
      <c r="BP34" s="157">
        <f>AY34+AZ34+BA34+BB34+BC34+BD34+BE34+BF34+BG34+BH34+BI34+BJ34</f>
        <v/>
      </c>
    </row>
    <row r="35" ht="15" customHeight="1" s="104">
      <c r="A35" s="107" t="inlineStr">
        <is>
          <t xml:space="preserve">    Add-On 7 Equity Contribution</t>
        </is>
      </c>
      <c r="C35" s="156">
        <f>IF(AND(Assumptions!B57&lt;&gt;"",IFERROR(DATEVALUE(TEXT(Assumptions!B57,"MM/DD/YYYY")),0)&gt;=DATE(2026,10,1),IFERROR(DATEVALUE(TEXT(Assumptions!B57,"MM/DD/YYYY")),0)&lt;=DATE(2026,10,31)),MAX(0,Assumptions!G57-C13),0)</f>
        <v/>
      </c>
      <c r="D35" s="156">
        <f>IF(AND(Assumptions!B57&lt;&gt;"",IFERROR(DATEVALUE(TEXT(Assumptions!B57,"MM/DD/YYYY")),0)&gt;=DATE(2026,11,1),IFERROR(DATEVALUE(TEXT(Assumptions!B57,"MM/DD/YYYY")),0)&lt;=DATE(2026,11,30)),MAX(0,Assumptions!G57-D13),0)</f>
        <v/>
      </c>
      <c r="E35" s="156">
        <f>IF(AND(Assumptions!B57&lt;&gt;"",IFERROR(DATEVALUE(TEXT(Assumptions!B57,"MM/DD/YYYY")),0)&gt;=DATE(2026,12,1),IFERROR(DATEVALUE(TEXT(Assumptions!B57,"MM/DD/YYYY")),0)&lt;=DATE(2026,12,31)),MAX(0,Assumptions!G57-E13),0)</f>
        <v/>
      </c>
      <c r="F35" s="156">
        <f>IF(AND(Assumptions!B57&lt;&gt;"",IFERROR(DATEVALUE(TEXT(Assumptions!B57,"MM/DD/YYYY")),0)&gt;=DATE(2027,1,1),IFERROR(DATEVALUE(TEXT(Assumptions!B57,"MM/DD/YYYY")),0)&lt;=DATE(2027,1,31)),MAX(0,Assumptions!G57-F13),0)</f>
        <v/>
      </c>
      <c r="G35" s="156">
        <f>IF(AND(Assumptions!B57&lt;&gt;"",IFERROR(DATEVALUE(TEXT(Assumptions!B57,"MM/DD/YYYY")),0)&gt;=DATE(2027,2,1),IFERROR(DATEVALUE(TEXT(Assumptions!B57,"MM/DD/YYYY")),0)&lt;=DATE(2027,2,28)),MAX(0,Assumptions!G57-G13),0)</f>
        <v/>
      </c>
      <c r="H35" s="156">
        <f>IF(AND(Assumptions!B57&lt;&gt;"",IFERROR(DATEVALUE(TEXT(Assumptions!B57,"MM/DD/YYYY")),0)&gt;=DATE(2027,3,1),IFERROR(DATEVALUE(TEXT(Assumptions!B57,"MM/DD/YYYY")),0)&lt;=DATE(2027,3,31)),MAX(0,Assumptions!G57-H13),0)</f>
        <v/>
      </c>
      <c r="I35" s="156">
        <f>IF(AND(Assumptions!B57&lt;&gt;"",IFERROR(DATEVALUE(TEXT(Assumptions!B57,"MM/DD/YYYY")),0)&gt;=DATE(2027,4,1),IFERROR(DATEVALUE(TEXT(Assumptions!B57,"MM/DD/YYYY")),0)&lt;=DATE(2027,4,30)),MAX(0,Assumptions!G57-I13),0)</f>
        <v/>
      </c>
      <c r="J35" s="156">
        <f>IF(AND(Assumptions!B57&lt;&gt;"",IFERROR(DATEVALUE(TEXT(Assumptions!B57,"MM/DD/YYYY")),0)&gt;=DATE(2027,5,1),IFERROR(DATEVALUE(TEXT(Assumptions!B57,"MM/DD/YYYY")),0)&lt;=DATE(2027,5,31)),MAX(0,Assumptions!G57-J13),0)</f>
        <v/>
      </c>
      <c r="K35" s="156">
        <f>IF(AND(Assumptions!B57&lt;&gt;"",IFERROR(DATEVALUE(TEXT(Assumptions!B57,"MM/DD/YYYY")),0)&gt;=DATE(2027,6,1),IFERROR(DATEVALUE(TEXT(Assumptions!B57,"MM/DD/YYYY")),0)&lt;=DATE(2027,6,30)),MAX(0,Assumptions!G57-K13),0)</f>
        <v/>
      </c>
      <c r="L35" s="156">
        <f>IF(AND(Assumptions!B57&lt;&gt;"",IFERROR(DATEVALUE(TEXT(Assumptions!B57,"MM/DD/YYYY")),0)&gt;=DATE(2027,7,1),IFERROR(DATEVALUE(TEXT(Assumptions!B57,"MM/DD/YYYY")),0)&lt;=DATE(2027,7,31)),MAX(0,Assumptions!G57-L13),0)</f>
        <v/>
      </c>
      <c r="M35" s="156">
        <f>IF(AND(Assumptions!B57&lt;&gt;"",IFERROR(DATEVALUE(TEXT(Assumptions!B57,"MM/DD/YYYY")),0)&gt;=DATE(2027,8,1),IFERROR(DATEVALUE(TEXT(Assumptions!B57,"MM/DD/YYYY")),0)&lt;=DATE(2027,8,31)),MAX(0,Assumptions!G57-M13),0)</f>
        <v/>
      </c>
      <c r="N35" s="156">
        <f>IF(AND(Assumptions!B57&lt;&gt;"",IFERROR(DATEVALUE(TEXT(Assumptions!B57,"MM/DD/YYYY")),0)&gt;=DATE(2027,9,1),IFERROR(DATEVALUE(TEXT(Assumptions!B57,"MM/DD/YYYY")),0)&lt;=DATE(2027,9,30)),MAX(0,Assumptions!G57-N13),0)</f>
        <v/>
      </c>
      <c r="O35" s="156">
        <f>IF(AND(Assumptions!B57&lt;&gt;"",IFERROR(DATEVALUE(TEXT(Assumptions!B57,"MM/DD/YYYY")),0)&gt;=DATE(2027,10,1),IFERROR(DATEVALUE(TEXT(Assumptions!B57,"MM/DD/YYYY")),0)&lt;=DATE(2027,10,31)),MAX(0,Assumptions!G57-O13),0)</f>
        <v/>
      </c>
      <c r="P35" s="156">
        <f>IF(AND(Assumptions!B57&lt;&gt;"",IFERROR(DATEVALUE(TEXT(Assumptions!B57,"MM/DD/YYYY")),0)&gt;=DATE(2027,11,1),IFERROR(DATEVALUE(TEXT(Assumptions!B57,"MM/DD/YYYY")),0)&lt;=DATE(2027,11,30)),MAX(0,Assumptions!G57-P13),0)</f>
        <v/>
      </c>
      <c r="Q35" s="156">
        <f>IF(AND(Assumptions!B57&lt;&gt;"",IFERROR(DATEVALUE(TEXT(Assumptions!B57,"MM/DD/YYYY")),0)&gt;=DATE(2027,12,1),IFERROR(DATEVALUE(TEXT(Assumptions!B57,"MM/DD/YYYY")),0)&lt;=DATE(2027,12,31)),MAX(0,Assumptions!G57-Q13),0)</f>
        <v/>
      </c>
      <c r="R35" s="156">
        <f>IF(AND(Assumptions!B57&lt;&gt;"",IFERROR(DATEVALUE(TEXT(Assumptions!B57,"MM/DD/YYYY")),0)&gt;=DATE(2028,1,1),IFERROR(DATEVALUE(TEXT(Assumptions!B57,"MM/DD/YYYY")),0)&lt;=DATE(2028,1,31)),MAX(0,Assumptions!G57-R13),0)</f>
        <v/>
      </c>
      <c r="S35" s="156">
        <f>IF(AND(Assumptions!B57&lt;&gt;"",IFERROR(DATEVALUE(TEXT(Assumptions!B57,"MM/DD/YYYY")),0)&gt;=DATE(2028,2,1),IFERROR(DATEVALUE(TEXT(Assumptions!B57,"MM/DD/YYYY")),0)&lt;=DATE(2028,2,29)),MAX(0,Assumptions!G57-S13),0)</f>
        <v/>
      </c>
      <c r="T35" s="156">
        <f>IF(AND(Assumptions!B57&lt;&gt;"",IFERROR(DATEVALUE(TEXT(Assumptions!B57,"MM/DD/YYYY")),0)&gt;=DATE(2028,3,1),IFERROR(DATEVALUE(TEXT(Assumptions!B57,"MM/DD/YYYY")),0)&lt;=DATE(2028,3,31)),MAX(0,Assumptions!G57-T13),0)</f>
        <v/>
      </c>
      <c r="U35" s="156">
        <f>IF(AND(Assumptions!B57&lt;&gt;"",IFERROR(DATEVALUE(TEXT(Assumptions!B57,"MM/DD/YYYY")),0)&gt;=DATE(2028,4,1),IFERROR(DATEVALUE(TEXT(Assumptions!B57,"MM/DD/YYYY")),0)&lt;=DATE(2028,4,30)),MAX(0,Assumptions!G57-U13),0)</f>
        <v/>
      </c>
      <c r="V35" s="156">
        <f>IF(AND(Assumptions!B57&lt;&gt;"",IFERROR(DATEVALUE(TEXT(Assumptions!B57,"MM/DD/YYYY")),0)&gt;=DATE(2028,5,1),IFERROR(DATEVALUE(TEXT(Assumptions!B57,"MM/DD/YYYY")),0)&lt;=DATE(2028,5,31)),MAX(0,Assumptions!G57-V13),0)</f>
        <v/>
      </c>
      <c r="W35" s="156">
        <f>IF(AND(Assumptions!B57&lt;&gt;"",IFERROR(DATEVALUE(TEXT(Assumptions!B57,"MM/DD/YYYY")),0)&gt;=DATE(2028,6,1),IFERROR(DATEVALUE(TEXT(Assumptions!B57,"MM/DD/YYYY")),0)&lt;=DATE(2028,6,30)),MAX(0,Assumptions!G57-W13),0)</f>
        <v/>
      </c>
      <c r="X35" s="156">
        <f>IF(AND(Assumptions!B57&lt;&gt;"",IFERROR(DATEVALUE(TEXT(Assumptions!B57,"MM/DD/YYYY")),0)&gt;=DATE(2028,7,1),IFERROR(DATEVALUE(TEXT(Assumptions!B57,"MM/DD/YYYY")),0)&lt;=DATE(2028,7,31)),MAX(0,Assumptions!G57-X13),0)</f>
        <v/>
      </c>
      <c r="Y35" s="156">
        <f>IF(AND(Assumptions!B57&lt;&gt;"",IFERROR(DATEVALUE(TEXT(Assumptions!B57,"MM/DD/YYYY")),0)&gt;=DATE(2028,8,1),IFERROR(DATEVALUE(TEXT(Assumptions!B57,"MM/DD/YYYY")),0)&lt;=DATE(2028,8,31)),MAX(0,Assumptions!G57-Y13),0)</f>
        <v/>
      </c>
      <c r="Z35" s="156">
        <f>IF(AND(Assumptions!B57&lt;&gt;"",IFERROR(DATEVALUE(TEXT(Assumptions!B57,"MM/DD/YYYY")),0)&gt;=DATE(2028,9,1),IFERROR(DATEVALUE(TEXT(Assumptions!B57,"MM/DD/YYYY")),0)&lt;=DATE(2028,9,30)),MAX(0,Assumptions!G57-Z13),0)</f>
        <v/>
      </c>
      <c r="AA35" s="156">
        <f>IF(AND(Assumptions!B57&lt;&gt;"",IFERROR(DATEVALUE(TEXT(Assumptions!B57,"MM/DD/YYYY")),0)&gt;=DATE(2028,10,1),IFERROR(DATEVALUE(TEXT(Assumptions!B57,"MM/DD/YYYY")),0)&lt;=DATE(2028,10,31)),MAX(0,Assumptions!G57-AA13),0)</f>
        <v/>
      </c>
      <c r="AB35" s="156">
        <f>IF(AND(Assumptions!B57&lt;&gt;"",IFERROR(DATEVALUE(TEXT(Assumptions!B57,"MM/DD/YYYY")),0)&gt;=DATE(2028,11,1),IFERROR(DATEVALUE(TEXT(Assumptions!B57,"MM/DD/YYYY")),0)&lt;=DATE(2028,11,30)),MAX(0,Assumptions!G57-AB13),0)</f>
        <v/>
      </c>
      <c r="AC35" s="156">
        <f>IF(AND(Assumptions!B57&lt;&gt;"",IFERROR(DATEVALUE(TEXT(Assumptions!B57,"MM/DD/YYYY")),0)&gt;=DATE(2028,12,1),IFERROR(DATEVALUE(TEXT(Assumptions!B57,"MM/DD/YYYY")),0)&lt;=DATE(2028,12,31)),MAX(0,Assumptions!G57-AC13),0)</f>
        <v/>
      </c>
      <c r="AD35" s="156">
        <f>IF(AND(Assumptions!B57&lt;&gt;"",IFERROR(DATEVALUE(TEXT(Assumptions!B57,"MM/DD/YYYY")),0)&gt;=DATE(2029,1,1),IFERROR(DATEVALUE(TEXT(Assumptions!B57,"MM/DD/YYYY")),0)&lt;=DATE(2029,1,31)),MAX(0,Assumptions!G57-AD13),0)</f>
        <v/>
      </c>
      <c r="AE35" s="156">
        <f>IF(AND(Assumptions!B57&lt;&gt;"",IFERROR(DATEVALUE(TEXT(Assumptions!B57,"MM/DD/YYYY")),0)&gt;=DATE(2029,2,1),IFERROR(DATEVALUE(TEXT(Assumptions!B57,"MM/DD/YYYY")),0)&lt;=DATE(2029,2,28)),MAX(0,Assumptions!G57-AE13),0)</f>
        <v/>
      </c>
      <c r="AF35" s="156">
        <f>IF(AND(Assumptions!B57&lt;&gt;"",IFERROR(DATEVALUE(TEXT(Assumptions!B57,"MM/DD/YYYY")),0)&gt;=DATE(2029,3,1),IFERROR(DATEVALUE(TEXT(Assumptions!B57,"MM/DD/YYYY")),0)&lt;=DATE(2029,3,31)),MAX(0,Assumptions!G57-AF13),0)</f>
        <v/>
      </c>
      <c r="AG35" s="156">
        <f>IF(AND(Assumptions!B57&lt;&gt;"",IFERROR(DATEVALUE(TEXT(Assumptions!B57,"MM/DD/YYYY")),0)&gt;=DATE(2029,4,1),IFERROR(DATEVALUE(TEXT(Assumptions!B57,"MM/DD/YYYY")),0)&lt;=DATE(2029,4,30)),MAX(0,Assumptions!G57-AG13),0)</f>
        <v/>
      </c>
      <c r="AH35" s="156">
        <f>IF(AND(Assumptions!B57&lt;&gt;"",IFERROR(DATEVALUE(TEXT(Assumptions!B57,"MM/DD/YYYY")),0)&gt;=DATE(2029,5,1),IFERROR(DATEVALUE(TEXT(Assumptions!B57,"MM/DD/YYYY")),0)&lt;=DATE(2029,5,31)),MAX(0,Assumptions!G57-AH13),0)</f>
        <v/>
      </c>
      <c r="AI35" s="156">
        <f>IF(AND(Assumptions!B57&lt;&gt;"",IFERROR(DATEVALUE(TEXT(Assumptions!B57,"MM/DD/YYYY")),0)&gt;=DATE(2029,6,1),IFERROR(DATEVALUE(TEXT(Assumptions!B57,"MM/DD/YYYY")),0)&lt;=DATE(2029,6,30)),MAX(0,Assumptions!G57-AI13),0)</f>
        <v/>
      </c>
      <c r="AJ35" s="156">
        <f>IF(AND(Assumptions!B57&lt;&gt;"",IFERROR(DATEVALUE(TEXT(Assumptions!B57,"MM/DD/YYYY")),0)&gt;=DATE(2029,7,1),IFERROR(DATEVALUE(TEXT(Assumptions!B57,"MM/DD/YYYY")),0)&lt;=DATE(2029,7,31)),MAX(0,Assumptions!G57-AJ13),0)</f>
        <v/>
      </c>
      <c r="AK35" s="156">
        <f>IF(AND(Assumptions!B57&lt;&gt;"",IFERROR(DATEVALUE(TEXT(Assumptions!B57,"MM/DD/YYYY")),0)&gt;=DATE(2029,8,1),IFERROR(DATEVALUE(TEXT(Assumptions!B57,"MM/DD/YYYY")),0)&lt;=DATE(2029,8,31)),MAX(0,Assumptions!G57-AK13),0)</f>
        <v/>
      </c>
      <c r="AL35" s="156">
        <f>IF(AND(Assumptions!B57&lt;&gt;"",IFERROR(DATEVALUE(TEXT(Assumptions!B57,"MM/DD/YYYY")),0)&gt;=DATE(2029,9,1),IFERROR(DATEVALUE(TEXT(Assumptions!B57,"MM/DD/YYYY")),0)&lt;=DATE(2029,9,30)),MAX(0,Assumptions!G57-AL13),0)</f>
        <v/>
      </c>
      <c r="AM35" s="156">
        <f>IF(AND(Assumptions!B57&lt;&gt;"",IFERROR(DATEVALUE(TEXT(Assumptions!B57,"MM/DD/YYYY")),0)&gt;=DATE(2029,10,1),IFERROR(DATEVALUE(TEXT(Assumptions!B57,"MM/DD/YYYY")),0)&lt;=DATE(2029,10,31)),MAX(0,Assumptions!G57-AM13),0)</f>
        <v/>
      </c>
      <c r="AN35" s="156">
        <f>IF(AND(Assumptions!B57&lt;&gt;"",IFERROR(DATEVALUE(TEXT(Assumptions!B57,"MM/DD/YYYY")),0)&gt;=DATE(2029,11,1),IFERROR(DATEVALUE(TEXT(Assumptions!B57,"MM/DD/YYYY")),0)&lt;=DATE(2029,11,30)),MAX(0,Assumptions!G57-AN13),0)</f>
        <v/>
      </c>
      <c r="AO35" s="156">
        <f>IF(AND(Assumptions!B57&lt;&gt;"",IFERROR(DATEVALUE(TEXT(Assumptions!B57,"MM/DD/YYYY")),0)&gt;=DATE(2029,12,1),IFERROR(DATEVALUE(TEXT(Assumptions!B57,"MM/DD/YYYY")),0)&lt;=DATE(2029,12,31)),MAX(0,Assumptions!G57-AO13),0)</f>
        <v/>
      </c>
      <c r="AP35" s="156">
        <f>IF(AND(Assumptions!B57&lt;&gt;"",IFERROR(DATEVALUE(TEXT(Assumptions!B57,"MM/DD/YYYY")),0)&gt;=DATE(2030,1,1),IFERROR(DATEVALUE(TEXT(Assumptions!B57,"MM/DD/YYYY")),0)&lt;=DATE(2030,1,31)),MAX(0,Assumptions!G57-AP13),0)</f>
        <v/>
      </c>
      <c r="AQ35" s="156">
        <f>IF(AND(Assumptions!B57&lt;&gt;"",IFERROR(DATEVALUE(TEXT(Assumptions!B57,"MM/DD/YYYY")),0)&gt;=DATE(2030,2,1),IFERROR(DATEVALUE(TEXT(Assumptions!B57,"MM/DD/YYYY")),0)&lt;=DATE(2030,2,28)),MAX(0,Assumptions!G57-AQ13),0)</f>
        <v/>
      </c>
      <c r="AR35" s="156">
        <f>IF(AND(Assumptions!B57&lt;&gt;"",IFERROR(DATEVALUE(TEXT(Assumptions!B57,"MM/DD/YYYY")),0)&gt;=DATE(2030,3,1),IFERROR(DATEVALUE(TEXT(Assumptions!B57,"MM/DD/YYYY")),0)&lt;=DATE(2030,3,31)),MAX(0,Assumptions!G57-AR13),0)</f>
        <v/>
      </c>
      <c r="AS35" s="156">
        <f>IF(AND(Assumptions!B57&lt;&gt;"",IFERROR(DATEVALUE(TEXT(Assumptions!B57,"MM/DD/YYYY")),0)&gt;=DATE(2030,4,1),IFERROR(DATEVALUE(TEXT(Assumptions!B57,"MM/DD/YYYY")),0)&lt;=DATE(2030,4,30)),MAX(0,Assumptions!G57-AS13),0)</f>
        <v/>
      </c>
      <c r="AT35" s="156">
        <f>IF(AND(Assumptions!B57&lt;&gt;"",IFERROR(DATEVALUE(TEXT(Assumptions!B57,"MM/DD/YYYY")),0)&gt;=DATE(2030,5,1),IFERROR(DATEVALUE(TEXT(Assumptions!B57,"MM/DD/YYYY")),0)&lt;=DATE(2030,5,31)),MAX(0,Assumptions!G57-AT13),0)</f>
        <v/>
      </c>
      <c r="AU35" s="156">
        <f>IF(AND(Assumptions!B57&lt;&gt;"",IFERROR(DATEVALUE(TEXT(Assumptions!B57,"MM/DD/YYYY")),0)&gt;=DATE(2030,6,1),IFERROR(DATEVALUE(TEXT(Assumptions!B57,"MM/DD/YYYY")),0)&lt;=DATE(2030,6,30)),MAX(0,Assumptions!G57-AU13),0)</f>
        <v/>
      </c>
      <c r="AV35" s="156">
        <f>IF(AND(Assumptions!B57&lt;&gt;"",IFERROR(DATEVALUE(TEXT(Assumptions!B57,"MM/DD/YYYY")),0)&gt;=DATE(2030,7,1),IFERROR(DATEVALUE(TEXT(Assumptions!B57,"MM/DD/YYYY")),0)&lt;=DATE(2030,7,31)),MAX(0,Assumptions!G57-AV13),0)</f>
        <v/>
      </c>
      <c r="AW35" s="156">
        <f>IF(AND(Assumptions!B57&lt;&gt;"",IFERROR(DATEVALUE(TEXT(Assumptions!B57,"MM/DD/YYYY")),0)&gt;=DATE(2030,8,1),IFERROR(DATEVALUE(TEXT(Assumptions!B57,"MM/DD/YYYY")),0)&lt;=DATE(2030,8,31)),MAX(0,Assumptions!G57-AW13),0)</f>
        <v/>
      </c>
      <c r="AX35" s="156">
        <f>IF(AND(Assumptions!B57&lt;&gt;"",IFERROR(DATEVALUE(TEXT(Assumptions!B57,"MM/DD/YYYY")),0)&gt;=DATE(2030,9,1),IFERROR(DATEVALUE(TEXT(Assumptions!B57,"MM/DD/YYYY")),0)&lt;=DATE(2030,9,30)),MAX(0,Assumptions!G57-AX13),0)</f>
        <v/>
      </c>
      <c r="AY35" s="156">
        <f>IF(AND(Assumptions!B57&lt;&gt;"",IFERROR(DATEVALUE(TEXT(Assumptions!B57,"MM/DD/YYYY")),0)&gt;=DATE(2030,10,1),IFERROR(DATEVALUE(TEXT(Assumptions!B57,"MM/DD/YYYY")),0)&lt;=DATE(2030,10,31)),MAX(0,Assumptions!G57-AY13),0)</f>
        <v/>
      </c>
      <c r="AZ35" s="156">
        <f>IF(AND(Assumptions!B57&lt;&gt;"",IFERROR(DATEVALUE(TEXT(Assumptions!B57,"MM/DD/YYYY")),0)&gt;=DATE(2030,11,1),IFERROR(DATEVALUE(TEXT(Assumptions!B57,"MM/DD/YYYY")),0)&lt;=DATE(2030,11,30)),MAX(0,Assumptions!G57-AZ13),0)</f>
        <v/>
      </c>
      <c r="BA35" s="156">
        <f>IF(AND(Assumptions!B57&lt;&gt;"",IFERROR(DATEVALUE(TEXT(Assumptions!B57,"MM/DD/YYYY")),0)&gt;=DATE(2030,12,1),IFERROR(DATEVALUE(TEXT(Assumptions!B57,"MM/DD/YYYY")),0)&lt;=DATE(2030,12,31)),MAX(0,Assumptions!G57-BA13),0)</f>
        <v/>
      </c>
      <c r="BB35" s="156">
        <f>IF(AND(Assumptions!B57&lt;&gt;"",IFERROR(DATEVALUE(TEXT(Assumptions!B57,"MM/DD/YYYY")),0)&gt;=DATE(2031,1,1),IFERROR(DATEVALUE(TEXT(Assumptions!B57,"MM/DD/YYYY")),0)&lt;=DATE(2031,1,31)),MAX(0,Assumptions!G57-BB13),0)</f>
        <v/>
      </c>
      <c r="BC35" s="156">
        <f>IF(AND(Assumptions!B57&lt;&gt;"",IFERROR(DATEVALUE(TEXT(Assumptions!B57,"MM/DD/YYYY")),0)&gt;=DATE(2031,2,1),IFERROR(DATEVALUE(TEXT(Assumptions!B57,"MM/DD/YYYY")),0)&lt;=DATE(2031,2,28)),MAX(0,Assumptions!G57-BC13),0)</f>
        <v/>
      </c>
      <c r="BD35" s="156">
        <f>IF(AND(Assumptions!B57&lt;&gt;"",IFERROR(DATEVALUE(TEXT(Assumptions!B57,"MM/DD/YYYY")),0)&gt;=DATE(2031,3,1),IFERROR(DATEVALUE(TEXT(Assumptions!B57,"MM/DD/YYYY")),0)&lt;=DATE(2031,3,31)),MAX(0,Assumptions!G57-BD13),0)</f>
        <v/>
      </c>
      <c r="BE35" s="156">
        <f>IF(AND(Assumptions!B57&lt;&gt;"",IFERROR(DATEVALUE(TEXT(Assumptions!B57,"MM/DD/YYYY")),0)&gt;=DATE(2031,4,1),IFERROR(DATEVALUE(TEXT(Assumptions!B57,"MM/DD/YYYY")),0)&lt;=DATE(2031,4,30)),MAX(0,Assumptions!G57-BE13),0)</f>
        <v/>
      </c>
      <c r="BF35" s="156">
        <f>IF(AND(Assumptions!B57&lt;&gt;"",IFERROR(DATEVALUE(TEXT(Assumptions!B57,"MM/DD/YYYY")),0)&gt;=DATE(2031,5,1),IFERROR(DATEVALUE(TEXT(Assumptions!B57,"MM/DD/YYYY")),0)&lt;=DATE(2031,5,31)),MAX(0,Assumptions!G57-BF13),0)</f>
        <v/>
      </c>
      <c r="BG35" s="156">
        <f>IF(AND(Assumptions!B57&lt;&gt;"",IFERROR(DATEVALUE(TEXT(Assumptions!B57,"MM/DD/YYYY")),0)&gt;=DATE(2031,6,1),IFERROR(DATEVALUE(TEXT(Assumptions!B57,"MM/DD/YYYY")),0)&lt;=DATE(2031,6,30)),MAX(0,Assumptions!G57-BG13),0)</f>
        <v/>
      </c>
      <c r="BH35" s="156">
        <f>IF(AND(Assumptions!B57&lt;&gt;"",IFERROR(DATEVALUE(TEXT(Assumptions!B57,"MM/DD/YYYY")),0)&gt;=DATE(2031,7,1),IFERROR(DATEVALUE(TEXT(Assumptions!B57,"MM/DD/YYYY")),0)&lt;=DATE(2031,7,31)),MAX(0,Assumptions!G57-BH13),0)</f>
        <v/>
      </c>
      <c r="BI35" s="156">
        <f>IF(AND(Assumptions!B57&lt;&gt;"",IFERROR(DATEVALUE(TEXT(Assumptions!B57,"MM/DD/YYYY")),0)&gt;=DATE(2031,8,1),IFERROR(DATEVALUE(TEXT(Assumptions!B57,"MM/DD/YYYY")),0)&lt;=DATE(2031,8,31)),MAX(0,Assumptions!G57-BI13),0)</f>
        <v/>
      </c>
      <c r="BJ35" s="156">
        <f>IF(AND(Assumptions!B57&lt;&gt;"",IFERROR(DATEVALUE(TEXT(Assumptions!B57,"MM/DD/YYYY")),0)&gt;=DATE(2031,9,1),IFERROR(DATEVALUE(TEXT(Assumptions!B57,"MM/DD/YYYY")),0)&lt;=DATE(2031,9,30)),MAX(0,Assumptions!G57-BJ13),0)</f>
        <v/>
      </c>
      <c r="BL35" s="157">
        <f>C35+D35+E35+F35+G35+H35+I35+J35+K35+L35+M35+N35</f>
        <v/>
      </c>
      <c r="BM35" s="157">
        <f>O35+P35+Q35+R35+S35+T35+U35+V35+W35+X35+Y35+Z35</f>
        <v/>
      </c>
      <c r="BN35" s="222" t="n">
        <v>0</v>
      </c>
      <c r="BO35" s="157">
        <f>AM35+AN35+AO35+AP35+AQ35+AR35+AS35+AT35+AU35+AV35+AW35+AX35</f>
        <v/>
      </c>
      <c r="BP35" s="157">
        <f>AY35+AZ35+BA35+BB35+BC35+BD35+BE35+BF35+BG35+BH35+BI35+BJ35</f>
        <v/>
      </c>
    </row>
    <row r="36" ht="15" customHeight="1" s="104">
      <c r="A36" s="107" t="inlineStr">
        <is>
          <t xml:space="preserve">    Add-On 8 Equity Contribution</t>
        </is>
      </c>
      <c r="C36" s="156">
        <f>IF(AND(Assumptions!B58&lt;&gt;"",IFERROR(DATEVALUE(TEXT(Assumptions!B58,"MM/DD/YYYY")),0)&gt;=DATE(2026,10,1),IFERROR(DATEVALUE(TEXT(Assumptions!B58,"MM/DD/YYYY")),0)&lt;=DATE(2026,10,31)),MAX(0,Assumptions!G58-C14),0)</f>
        <v/>
      </c>
      <c r="D36" s="156">
        <f>IF(AND(Assumptions!B58&lt;&gt;"",IFERROR(DATEVALUE(TEXT(Assumptions!B58,"MM/DD/YYYY")),0)&gt;=DATE(2026,11,1),IFERROR(DATEVALUE(TEXT(Assumptions!B58,"MM/DD/YYYY")),0)&lt;=DATE(2026,11,30)),MAX(0,Assumptions!G58-D14),0)</f>
        <v/>
      </c>
      <c r="E36" s="156">
        <f>IF(AND(Assumptions!B58&lt;&gt;"",IFERROR(DATEVALUE(TEXT(Assumptions!B58,"MM/DD/YYYY")),0)&gt;=DATE(2026,12,1),IFERROR(DATEVALUE(TEXT(Assumptions!B58,"MM/DD/YYYY")),0)&lt;=DATE(2026,12,31)),MAX(0,Assumptions!G58-E14),0)</f>
        <v/>
      </c>
      <c r="F36" s="156">
        <f>IF(AND(Assumptions!B58&lt;&gt;"",IFERROR(DATEVALUE(TEXT(Assumptions!B58,"MM/DD/YYYY")),0)&gt;=DATE(2027,1,1),IFERROR(DATEVALUE(TEXT(Assumptions!B58,"MM/DD/YYYY")),0)&lt;=DATE(2027,1,31)),MAX(0,Assumptions!G58-F14),0)</f>
        <v/>
      </c>
      <c r="G36" s="156">
        <f>IF(AND(Assumptions!B58&lt;&gt;"",IFERROR(DATEVALUE(TEXT(Assumptions!B58,"MM/DD/YYYY")),0)&gt;=DATE(2027,2,1),IFERROR(DATEVALUE(TEXT(Assumptions!B58,"MM/DD/YYYY")),0)&lt;=DATE(2027,2,28)),MAX(0,Assumptions!G58-G14),0)</f>
        <v/>
      </c>
      <c r="H36" s="156">
        <f>IF(AND(Assumptions!B58&lt;&gt;"",IFERROR(DATEVALUE(TEXT(Assumptions!B58,"MM/DD/YYYY")),0)&gt;=DATE(2027,3,1),IFERROR(DATEVALUE(TEXT(Assumptions!B58,"MM/DD/YYYY")),0)&lt;=DATE(2027,3,31)),MAX(0,Assumptions!G58-H14),0)</f>
        <v/>
      </c>
      <c r="I36" s="156">
        <f>IF(AND(Assumptions!B58&lt;&gt;"",IFERROR(DATEVALUE(TEXT(Assumptions!B58,"MM/DD/YYYY")),0)&gt;=DATE(2027,4,1),IFERROR(DATEVALUE(TEXT(Assumptions!B58,"MM/DD/YYYY")),0)&lt;=DATE(2027,4,30)),MAX(0,Assumptions!G58-I14),0)</f>
        <v/>
      </c>
      <c r="J36" s="156">
        <f>IF(AND(Assumptions!B58&lt;&gt;"",IFERROR(DATEVALUE(TEXT(Assumptions!B58,"MM/DD/YYYY")),0)&gt;=DATE(2027,5,1),IFERROR(DATEVALUE(TEXT(Assumptions!B58,"MM/DD/YYYY")),0)&lt;=DATE(2027,5,31)),MAX(0,Assumptions!G58-J14),0)</f>
        <v/>
      </c>
      <c r="K36" s="156">
        <f>IF(AND(Assumptions!B58&lt;&gt;"",IFERROR(DATEVALUE(TEXT(Assumptions!B58,"MM/DD/YYYY")),0)&gt;=DATE(2027,6,1),IFERROR(DATEVALUE(TEXT(Assumptions!B58,"MM/DD/YYYY")),0)&lt;=DATE(2027,6,30)),MAX(0,Assumptions!G58-K14),0)</f>
        <v/>
      </c>
      <c r="L36" s="156">
        <f>IF(AND(Assumptions!B58&lt;&gt;"",IFERROR(DATEVALUE(TEXT(Assumptions!B58,"MM/DD/YYYY")),0)&gt;=DATE(2027,7,1),IFERROR(DATEVALUE(TEXT(Assumptions!B58,"MM/DD/YYYY")),0)&lt;=DATE(2027,7,31)),MAX(0,Assumptions!G58-L14),0)</f>
        <v/>
      </c>
      <c r="M36" s="156">
        <f>IF(AND(Assumptions!B58&lt;&gt;"",IFERROR(DATEVALUE(TEXT(Assumptions!B58,"MM/DD/YYYY")),0)&gt;=DATE(2027,8,1),IFERROR(DATEVALUE(TEXT(Assumptions!B58,"MM/DD/YYYY")),0)&lt;=DATE(2027,8,31)),MAX(0,Assumptions!G58-M14),0)</f>
        <v/>
      </c>
      <c r="N36" s="156">
        <f>IF(AND(Assumptions!B58&lt;&gt;"",IFERROR(DATEVALUE(TEXT(Assumptions!B58,"MM/DD/YYYY")),0)&gt;=DATE(2027,9,1),IFERROR(DATEVALUE(TEXT(Assumptions!B58,"MM/DD/YYYY")),0)&lt;=DATE(2027,9,30)),MAX(0,Assumptions!G58-N14),0)</f>
        <v/>
      </c>
      <c r="O36" s="156">
        <f>IF(AND(Assumptions!B58&lt;&gt;"",IFERROR(DATEVALUE(TEXT(Assumptions!B58,"MM/DD/YYYY")),0)&gt;=DATE(2027,10,1),IFERROR(DATEVALUE(TEXT(Assumptions!B58,"MM/DD/YYYY")),0)&lt;=DATE(2027,10,31)),MAX(0,Assumptions!G58-O14),0)</f>
        <v/>
      </c>
      <c r="P36" s="156">
        <f>IF(AND(Assumptions!B58&lt;&gt;"",IFERROR(DATEVALUE(TEXT(Assumptions!B58,"MM/DD/YYYY")),0)&gt;=DATE(2027,11,1),IFERROR(DATEVALUE(TEXT(Assumptions!B58,"MM/DD/YYYY")),0)&lt;=DATE(2027,11,30)),MAX(0,Assumptions!G58-P14),0)</f>
        <v/>
      </c>
      <c r="Q36" s="156">
        <f>IF(AND(Assumptions!B58&lt;&gt;"",IFERROR(DATEVALUE(TEXT(Assumptions!B58,"MM/DD/YYYY")),0)&gt;=DATE(2027,12,1),IFERROR(DATEVALUE(TEXT(Assumptions!B58,"MM/DD/YYYY")),0)&lt;=DATE(2027,12,31)),MAX(0,Assumptions!G58-Q14),0)</f>
        <v/>
      </c>
      <c r="R36" s="156">
        <f>IF(AND(Assumptions!B58&lt;&gt;"",IFERROR(DATEVALUE(TEXT(Assumptions!B58,"MM/DD/YYYY")),0)&gt;=DATE(2028,1,1),IFERROR(DATEVALUE(TEXT(Assumptions!B58,"MM/DD/YYYY")),0)&lt;=DATE(2028,1,31)),MAX(0,Assumptions!G58-R14),0)</f>
        <v/>
      </c>
      <c r="S36" s="156">
        <f>IF(AND(Assumptions!B58&lt;&gt;"",IFERROR(DATEVALUE(TEXT(Assumptions!B58,"MM/DD/YYYY")),0)&gt;=DATE(2028,2,1),IFERROR(DATEVALUE(TEXT(Assumptions!B58,"MM/DD/YYYY")),0)&lt;=DATE(2028,2,29)),MAX(0,Assumptions!G58-S14),0)</f>
        <v/>
      </c>
      <c r="T36" s="156">
        <f>IF(AND(Assumptions!B58&lt;&gt;"",IFERROR(DATEVALUE(TEXT(Assumptions!B58,"MM/DD/YYYY")),0)&gt;=DATE(2028,3,1),IFERROR(DATEVALUE(TEXT(Assumptions!B58,"MM/DD/YYYY")),0)&lt;=DATE(2028,3,31)),MAX(0,Assumptions!G58-T14),0)</f>
        <v/>
      </c>
      <c r="U36" s="156">
        <f>IF(AND(Assumptions!B58&lt;&gt;"",IFERROR(DATEVALUE(TEXT(Assumptions!B58,"MM/DD/YYYY")),0)&gt;=DATE(2028,4,1),IFERROR(DATEVALUE(TEXT(Assumptions!B58,"MM/DD/YYYY")),0)&lt;=DATE(2028,4,30)),MAX(0,Assumptions!G58-U14),0)</f>
        <v/>
      </c>
      <c r="V36" s="156">
        <f>IF(AND(Assumptions!B58&lt;&gt;"",IFERROR(DATEVALUE(TEXT(Assumptions!B58,"MM/DD/YYYY")),0)&gt;=DATE(2028,5,1),IFERROR(DATEVALUE(TEXT(Assumptions!B58,"MM/DD/YYYY")),0)&lt;=DATE(2028,5,31)),MAX(0,Assumptions!G58-V14),0)</f>
        <v/>
      </c>
      <c r="W36" s="156">
        <f>IF(AND(Assumptions!B58&lt;&gt;"",IFERROR(DATEVALUE(TEXT(Assumptions!B58,"MM/DD/YYYY")),0)&gt;=DATE(2028,6,1),IFERROR(DATEVALUE(TEXT(Assumptions!B58,"MM/DD/YYYY")),0)&lt;=DATE(2028,6,30)),MAX(0,Assumptions!G58-W14),0)</f>
        <v/>
      </c>
      <c r="X36" s="156">
        <f>IF(AND(Assumptions!B58&lt;&gt;"",IFERROR(DATEVALUE(TEXT(Assumptions!B58,"MM/DD/YYYY")),0)&gt;=DATE(2028,7,1),IFERROR(DATEVALUE(TEXT(Assumptions!B58,"MM/DD/YYYY")),0)&lt;=DATE(2028,7,31)),MAX(0,Assumptions!G58-X14),0)</f>
        <v/>
      </c>
      <c r="Y36" s="156">
        <f>IF(AND(Assumptions!B58&lt;&gt;"",IFERROR(DATEVALUE(TEXT(Assumptions!B58,"MM/DD/YYYY")),0)&gt;=DATE(2028,8,1),IFERROR(DATEVALUE(TEXT(Assumptions!B58,"MM/DD/YYYY")),0)&lt;=DATE(2028,8,31)),MAX(0,Assumptions!G58-Y14),0)</f>
        <v/>
      </c>
      <c r="Z36" s="156">
        <f>IF(AND(Assumptions!B58&lt;&gt;"",IFERROR(DATEVALUE(TEXT(Assumptions!B58,"MM/DD/YYYY")),0)&gt;=DATE(2028,9,1),IFERROR(DATEVALUE(TEXT(Assumptions!B58,"MM/DD/YYYY")),0)&lt;=DATE(2028,9,30)),MAX(0,Assumptions!G58-Z14),0)</f>
        <v/>
      </c>
      <c r="AA36" s="156">
        <f>IF(AND(Assumptions!B58&lt;&gt;"",IFERROR(DATEVALUE(TEXT(Assumptions!B58,"MM/DD/YYYY")),0)&gt;=DATE(2028,10,1),IFERROR(DATEVALUE(TEXT(Assumptions!B58,"MM/DD/YYYY")),0)&lt;=DATE(2028,10,31)),MAX(0,Assumptions!G58-AA14),0)</f>
        <v/>
      </c>
      <c r="AB36" s="156">
        <f>IF(AND(Assumptions!B58&lt;&gt;"",IFERROR(DATEVALUE(TEXT(Assumptions!B58,"MM/DD/YYYY")),0)&gt;=DATE(2028,11,1),IFERROR(DATEVALUE(TEXT(Assumptions!B58,"MM/DD/YYYY")),0)&lt;=DATE(2028,11,30)),MAX(0,Assumptions!G58-AB14),0)</f>
        <v/>
      </c>
      <c r="AC36" s="156">
        <f>IF(AND(Assumptions!B58&lt;&gt;"",IFERROR(DATEVALUE(TEXT(Assumptions!B58,"MM/DD/YYYY")),0)&gt;=DATE(2028,12,1),IFERROR(DATEVALUE(TEXT(Assumptions!B58,"MM/DD/YYYY")),0)&lt;=DATE(2028,12,31)),MAX(0,Assumptions!G58-AC14),0)</f>
        <v/>
      </c>
      <c r="AD36" s="156">
        <f>IF(AND(Assumptions!B58&lt;&gt;"",IFERROR(DATEVALUE(TEXT(Assumptions!B58,"MM/DD/YYYY")),0)&gt;=DATE(2029,1,1),IFERROR(DATEVALUE(TEXT(Assumptions!B58,"MM/DD/YYYY")),0)&lt;=DATE(2029,1,31)),MAX(0,Assumptions!G58-AD14),0)</f>
        <v/>
      </c>
      <c r="AE36" s="156">
        <f>IF(AND(Assumptions!B58&lt;&gt;"",IFERROR(DATEVALUE(TEXT(Assumptions!B58,"MM/DD/YYYY")),0)&gt;=DATE(2029,2,1),IFERROR(DATEVALUE(TEXT(Assumptions!B58,"MM/DD/YYYY")),0)&lt;=DATE(2029,2,28)),MAX(0,Assumptions!G58-AE14),0)</f>
        <v/>
      </c>
      <c r="AF36" s="156">
        <f>IF(AND(Assumptions!B58&lt;&gt;"",IFERROR(DATEVALUE(TEXT(Assumptions!B58,"MM/DD/YYYY")),0)&gt;=DATE(2029,3,1),IFERROR(DATEVALUE(TEXT(Assumptions!B58,"MM/DD/YYYY")),0)&lt;=DATE(2029,3,31)),MAX(0,Assumptions!G58-AF14),0)</f>
        <v/>
      </c>
      <c r="AG36" s="221" t="n">
        <v>0</v>
      </c>
      <c r="AH36" s="156">
        <f>IF(AND(Assumptions!B58&lt;&gt;"",IFERROR(DATEVALUE(TEXT(Assumptions!B58,"MM/DD/YYYY")),0)&gt;=DATE(2029,5,1),IFERROR(DATEVALUE(TEXT(Assumptions!B58,"MM/DD/YYYY")),0)&lt;=DATE(2029,5,31)),MAX(0,Assumptions!G58-AH14),0)</f>
        <v/>
      </c>
      <c r="AI36" s="156">
        <f>IF(AND(Assumptions!B58&lt;&gt;"",IFERROR(DATEVALUE(TEXT(Assumptions!B58,"MM/DD/YYYY")),0)&gt;=DATE(2029,6,1),IFERROR(DATEVALUE(TEXT(Assumptions!B58,"MM/DD/YYYY")),0)&lt;=DATE(2029,6,30)),MAX(0,Assumptions!G58-AI14),0)</f>
        <v/>
      </c>
      <c r="AJ36" s="156">
        <f>IF(AND(Assumptions!B58&lt;&gt;"",IFERROR(DATEVALUE(TEXT(Assumptions!B58,"MM/DD/YYYY")),0)&gt;=DATE(2029,7,1),IFERROR(DATEVALUE(TEXT(Assumptions!B58,"MM/DD/YYYY")),0)&lt;=DATE(2029,7,31)),MAX(0,Assumptions!G58-AJ14),0)</f>
        <v/>
      </c>
      <c r="AK36" s="156">
        <f>IF(AND(Assumptions!B58&lt;&gt;"",IFERROR(DATEVALUE(TEXT(Assumptions!B58,"MM/DD/YYYY")),0)&gt;=DATE(2029,8,1),IFERROR(DATEVALUE(TEXT(Assumptions!B58,"MM/DD/YYYY")),0)&lt;=DATE(2029,8,31)),MAX(0,Assumptions!G58-AK14),0)</f>
        <v/>
      </c>
      <c r="AL36" s="156">
        <f>IF(AND(Assumptions!B58&lt;&gt;"",IFERROR(DATEVALUE(TEXT(Assumptions!B58,"MM/DD/YYYY")),0)&gt;=DATE(2029,9,1),IFERROR(DATEVALUE(TEXT(Assumptions!B58,"MM/DD/YYYY")),0)&lt;=DATE(2029,9,30)),MAX(0,Assumptions!G58-AL14),0)</f>
        <v/>
      </c>
      <c r="AM36" s="156">
        <f>IF(AND(Assumptions!B58&lt;&gt;"",IFERROR(DATEVALUE(TEXT(Assumptions!B58,"MM/DD/YYYY")),0)&gt;=DATE(2029,10,1),IFERROR(DATEVALUE(TEXT(Assumptions!B58,"MM/DD/YYYY")),0)&lt;=DATE(2029,10,31)),MAX(0,Assumptions!G58-AM14),0)</f>
        <v/>
      </c>
      <c r="AN36" s="156">
        <f>IF(AND(Assumptions!B58&lt;&gt;"",IFERROR(DATEVALUE(TEXT(Assumptions!B58,"MM/DD/YYYY")),0)&gt;=DATE(2029,11,1),IFERROR(DATEVALUE(TEXT(Assumptions!B58,"MM/DD/YYYY")),0)&lt;=DATE(2029,11,30)),MAX(0,Assumptions!G58-AN14),0)</f>
        <v/>
      </c>
      <c r="AO36" s="156">
        <f>IF(AND(Assumptions!B58&lt;&gt;"",IFERROR(DATEVALUE(TEXT(Assumptions!B58,"MM/DD/YYYY")),0)&gt;=DATE(2029,12,1),IFERROR(DATEVALUE(TEXT(Assumptions!B58,"MM/DD/YYYY")),0)&lt;=DATE(2029,12,31)),MAX(0,Assumptions!G58-AO14),0)</f>
        <v/>
      </c>
      <c r="AP36" s="156">
        <f>IF(AND(Assumptions!B58&lt;&gt;"",IFERROR(DATEVALUE(TEXT(Assumptions!B58,"MM/DD/YYYY")),0)&gt;=DATE(2030,1,1),IFERROR(DATEVALUE(TEXT(Assumptions!B58,"MM/DD/YYYY")),0)&lt;=DATE(2030,1,31)),MAX(0,Assumptions!G58-AP14),0)</f>
        <v/>
      </c>
      <c r="AQ36" s="156">
        <f>IF(AND(Assumptions!B58&lt;&gt;"",IFERROR(DATEVALUE(TEXT(Assumptions!B58,"MM/DD/YYYY")),0)&gt;=DATE(2030,2,1),IFERROR(DATEVALUE(TEXT(Assumptions!B58,"MM/DD/YYYY")),0)&lt;=DATE(2030,2,28)),MAX(0,Assumptions!G58-AQ14),0)</f>
        <v/>
      </c>
      <c r="AR36" s="156">
        <f>IF(AND(Assumptions!B58&lt;&gt;"",IFERROR(DATEVALUE(TEXT(Assumptions!B58,"MM/DD/YYYY")),0)&gt;=DATE(2030,3,1),IFERROR(DATEVALUE(TEXT(Assumptions!B58,"MM/DD/YYYY")),0)&lt;=DATE(2030,3,31)),MAX(0,Assumptions!G58-AR14),0)</f>
        <v/>
      </c>
      <c r="AS36" s="156">
        <f>IF(AND(Assumptions!B58&lt;&gt;"",IFERROR(DATEVALUE(TEXT(Assumptions!B58,"MM/DD/YYYY")),0)&gt;=DATE(2030,4,1),IFERROR(DATEVALUE(TEXT(Assumptions!B58,"MM/DD/YYYY")),0)&lt;=DATE(2030,4,30)),MAX(0,Assumptions!G58-AS14),0)</f>
        <v/>
      </c>
      <c r="AT36" s="156">
        <f>IF(AND(Assumptions!B58&lt;&gt;"",IFERROR(DATEVALUE(TEXT(Assumptions!B58,"MM/DD/YYYY")),0)&gt;=DATE(2030,5,1),IFERROR(DATEVALUE(TEXT(Assumptions!B58,"MM/DD/YYYY")),0)&lt;=DATE(2030,5,31)),MAX(0,Assumptions!G58-AT14),0)</f>
        <v/>
      </c>
      <c r="AU36" s="156">
        <f>IF(AND(Assumptions!B58&lt;&gt;"",IFERROR(DATEVALUE(TEXT(Assumptions!B58,"MM/DD/YYYY")),0)&gt;=DATE(2030,6,1),IFERROR(DATEVALUE(TEXT(Assumptions!B58,"MM/DD/YYYY")),0)&lt;=DATE(2030,6,30)),MAX(0,Assumptions!G58-AU14),0)</f>
        <v/>
      </c>
      <c r="AV36" s="156">
        <f>IF(AND(Assumptions!B58&lt;&gt;"",IFERROR(DATEVALUE(TEXT(Assumptions!B58,"MM/DD/YYYY")),0)&gt;=DATE(2030,7,1),IFERROR(DATEVALUE(TEXT(Assumptions!B58,"MM/DD/YYYY")),0)&lt;=DATE(2030,7,31)),MAX(0,Assumptions!G58-AV14),0)</f>
        <v/>
      </c>
      <c r="AW36" s="156">
        <f>IF(AND(Assumptions!B58&lt;&gt;"",IFERROR(DATEVALUE(TEXT(Assumptions!B58,"MM/DD/YYYY")),0)&gt;=DATE(2030,8,1),IFERROR(DATEVALUE(TEXT(Assumptions!B58,"MM/DD/YYYY")),0)&lt;=DATE(2030,8,31)),MAX(0,Assumptions!G58-AW14),0)</f>
        <v/>
      </c>
      <c r="AX36" s="156">
        <f>IF(AND(Assumptions!B58&lt;&gt;"",IFERROR(DATEVALUE(TEXT(Assumptions!B58,"MM/DD/YYYY")),0)&gt;=DATE(2030,9,1),IFERROR(DATEVALUE(TEXT(Assumptions!B58,"MM/DD/YYYY")),0)&lt;=DATE(2030,9,30)),MAX(0,Assumptions!G58-AX14),0)</f>
        <v/>
      </c>
      <c r="AY36" s="156">
        <f>IF(AND(Assumptions!B58&lt;&gt;"",IFERROR(DATEVALUE(TEXT(Assumptions!B58,"MM/DD/YYYY")),0)&gt;=DATE(2030,10,1),IFERROR(DATEVALUE(TEXT(Assumptions!B58,"MM/DD/YYYY")),0)&lt;=DATE(2030,10,31)),MAX(0,Assumptions!G58-AY14),0)</f>
        <v/>
      </c>
      <c r="AZ36" s="156">
        <f>IF(AND(Assumptions!B58&lt;&gt;"",IFERROR(DATEVALUE(TEXT(Assumptions!B58,"MM/DD/YYYY")),0)&gt;=DATE(2030,11,1),IFERROR(DATEVALUE(TEXT(Assumptions!B58,"MM/DD/YYYY")),0)&lt;=DATE(2030,11,30)),MAX(0,Assumptions!G58-AZ14),0)</f>
        <v/>
      </c>
      <c r="BA36" s="156">
        <f>IF(AND(Assumptions!B58&lt;&gt;"",IFERROR(DATEVALUE(TEXT(Assumptions!B58,"MM/DD/YYYY")),0)&gt;=DATE(2030,12,1),IFERROR(DATEVALUE(TEXT(Assumptions!B58,"MM/DD/YYYY")),0)&lt;=DATE(2030,12,31)),MAX(0,Assumptions!G58-BA14),0)</f>
        <v/>
      </c>
      <c r="BB36" s="156">
        <f>IF(AND(Assumptions!B58&lt;&gt;"",IFERROR(DATEVALUE(TEXT(Assumptions!B58,"MM/DD/YYYY")),0)&gt;=DATE(2031,1,1),IFERROR(DATEVALUE(TEXT(Assumptions!B58,"MM/DD/YYYY")),0)&lt;=DATE(2031,1,31)),MAX(0,Assumptions!G58-BB14),0)</f>
        <v/>
      </c>
      <c r="BC36" s="156">
        <f>IF(AND(Assumptions!B58&lt;&gt;"",IFERROR(DATEVALUE(TEXT(Assumptions!B58,"MM/DD/YYYY")),0)&gt;=DATE(2031,2,1),IFERROR(DATEVALUE(TEXT(Assumptions!B58,"MM/DD/YYYY")),0)&lt;=DATE(2031,2,28)),MAX(0,Assumptions!G58-BC14),0)</f>
        <v/>
      </c>
      <c r="BD36" s="156">
        <f>IF(AND(Assumptions!B58&lt;&gt;"",IFERROR(DATEVALUE(TEXT(Assumptions!B58,"MM/DD/YYYY")),0)&gt;=DATE(2031,3,1),IFERROR(DATEVALUE(TEXT(Assumptions!B58,"MM/DD/YYYY")),0)&lt;=DATE(2031,3,31)),MAX(0,Assumptions!G58-BD14),0)</f>
        <v/>
      </c>
      <c r="BE36" s="156">
        <f>IF(AND(Assumptions!B58&lt;&gt;"",IFERROR(DATEVALUE(TEXT(Assumptions!B58,"MM/DD/YYYY")),0)&gt;=DATE(2031,4,1),IFERROR(DATEVALUE(TEXT(Assumptions!B58,"MM/DD/YYYY")),0)&lt;=DATE(2031,4,30)),MAX(0,Assumptions!G58-BE14),0)</f>
        <v/>
      </c>
      <c r="BF36" s="156">
        <f>IF(AND(Assumptions!B58&lt;&gt;"",IFERROR(DATEVALUE(TEXT(Assumptions!B58,"MM/DD/YYYY")),0)&gt;=DATE(2031,5,1),IFERROR(DATEVALUE(TEXT(Assumptions!B58,"MM/DD/YYYY")),0)&lt;=DATE(2031,5,31)),MAX(0,Assumptions!G58-BF14),0)</f>
        <v/>
      </c>
      <c r="BG36" s="156">
        <f>IF(AND(Assumptions!B58&lt;&gt;"",IFERROR(DATEVALUE(TEXT(Assumptions!B58,"MM/DD/YYYY")),0)&gt;=DATE(2031,6,1),IFERROR(DATEVALUE(TEXT(Assumptions!B58,"MM/DD/YYYY")),0)&lt;=DATE(2031,6,30)),MAX(0,Assumptions!G58-BG14),0)</f>
        <v/>
      </c>
      <c r="BH36" s="156">
        <f>IF(AND(Assumptions!B58&lt;&gt;"",IFERROR(DATEVALUE(TEXT(Assumptions!B58,"MM/DD/YYYY")),0)&gt;=DATE(2031,7,1),IFERROR(DATEVALUE(TEXT(Assumptions!B58,"MM/DD/YYYY")),0)&lt;=DATE(2031,7,31)),MAX(0,Assumptions!G58-BH14),0)</f>
        <v/>
      </c>
      <c r="BI36" s="156">
        <f>IF(AND(Assumptions!B58&lt;&gt;"",IFERROR(DATEVALUE(TEXT(Assumptions!B58,"MM/DD/YYYY")),0)&gt;=DATE(2031,8,1),IFERROR(DATEVALUE(TEXT(Assumptions!B58,"MM/DD/YYYY")),0)&lt;=DATE(2031,8,31)),MAX(0,Assumptions!G58-BI14),0)</f>
        <v/>
      </c>
      <c r="BJ36" s="156">
        <f>IF(AND(Assumptions!B58&lt;&gt;"",IFERROR(DATEVALUE(TEXT(Assumptions!B58,"MM/DD/YYYY")),0)&gt;=DATE(2031,9,1),IFERROR(DATEVALUE(TEXT(Assumptions!B58,"MM/DD/YYYY")),0)&lt;=DATE(2031,9,30)),MAX(0,Assumptions!G58-BJ14),0)</f>
        <v/>
      </c>
      <c r="BL36" s="157">
        <f>C36+D36+E36+F36+G36+H36+I36+J36+K36+L36+M36+N36</f>
        <v/>
      </c>
      <c r="BM36" s="157">
        <f>O36+P36+Q36+R36+S36+T36+U36+V36+W36+X36+Y36+Z36</f>
        <v/>
      </c>
      <c r="BN36" s="222" t="n">
        <v>0</v>
      </c>
      <c r="BO36" s="157">
        <f>AM36+AN36+AO36+AP36+AQ36+AR36+AS36+AT36+AU36+AV36+AW36+AX36</f>
        <v/>
      </c>
      <c r="BP36" s="157">
        <f>AY36+AZ36+BA36+BB36+BC36+BD36+BE36+BF36+BG36+BH36+BI36+BJ36</f>
        <v/>
      </c>
    </row>
    <row r="37" ht="15" customHeight="1" s="104">
      <c r="A37" s="107" t="inlineStr">
        <is>
          <t xml:space="preserve">    Add-On 9 Equity Contribution</t>
        </is>
      </c>
      <c r="C37" s="156">
        <f>IF(AND(Assumptions!B59&lt;&gt;"",IFERROR(DATEVALUE(TEXT(Assumptions!B59,"MM/DD/YYYY")),0)&gt;=DATE(2026,10,1),IFERROR(DATEVALUE(TEXT(Assumptions!B59,"MM/DD/YYYY")),0)&lt;=DATE(2026,10,31)),MAX(0,Assumptions!G59-C15),0)</f>
        <v/>
      </c>
      <c r="D37" s="156">
        <f>IF(AND(Assumptions!B59&lt;&gt;"",IFERROR(DATEVALUE(TEXT(Assumptions!B59,"MM/DD/YYYY")),0)&gt;=DATE(2026,11,1),IFERROR(DATEVALUE(TEXT(Assumptions!B59,"MM/DD/YYYY")),0)&lt;=DATE(2026,11,30)),MAX(0,Assumptions!G59-D15),0)</f>
        <v/>
      </c>
      <c r="E37" s="156">
        <f>IF(AND(Assumptions!B59&lt;&gt;"",IFERROR(DATEVALUE(TEXT(Assumptions!B59,"MM/DD/YYYY")),0)&gt;=DATE(2026,12,1),IFERROR(DATEVALUE(TEXT(Assumptions!B59,"MM/DD/YYYY")),0)&lt;=DATE(2026,12,31)),MAX(0,Assumptions!G59-E15),0)</f>
        <v/>
      </c>
      <c r="F37" s="156">
        <f>IF(AND(Assumptions!B59&lt;&gt;"",IFERROR(DATEVALUE(TEXT(Assumptions!B59,"MM/DD/YYYY")),0)&gt;=DATE(2027,1,1),IFERROR(DATEVALUE(TEXT(Assumptions!B59,"MM/DD/YYYY")),0)&lt;=DATE(2027,1,31)),MAX(0,Assumptions!G59-F15),0)</f>
        <v/>
      </c>
      <c r="G37" s="156">
        <f>IF(AND(Assumptions!B59&lt;&gt;"",IFERROR(DATEVALUE(TEXT(Assumptions!B59,"MM/DD/YYYY")),0)&gt;=DATE(2027,2,1),IFERROR(DATEVALUE(TEXT(Assumptions!B59,"MM/DD/YYYY")),0)&lt;=DATE(2027,2,28)),MAX(0,Assumptions!G59-G15),0)</f>
        <v/>
      </c>
      <c r="H37" s="156">
        <f>IF(AND(Assumptions!B59&lt;&gt;"",IFERROR(DATEVALUE(TEXT(Assumptions!B59,"MM/DD/YYYY")),0)&gt;=DATE(2027,3,1),IFERROR(DATEVALUE(TEXT(Assumptions!B59,"MM/DD/YYYY")),0)&lt;=DATE(2027,3,31)),MAX(0,Assumptions!G59-H15),0)</f>
        <v/>
      </c>
      <c r="I37" s="156">
        <f>IF(AND(Assumptions!B59&lt;&gt;"",IFERROR(DATEVALUE(TEXT(Assumptions!B59,"MM/DD/YYYY")),0)&gt;=DATE(2027,4,1),IFERROR(DATEVALUE(TEXT(Assumptions!B59,"MM/DD/YYYY")),0)&lt;=DATE(2027,4,30)),MAX(0,Assumptions!G59-I15),0)</f>
        <v/>
      </c>
      <c r="J37" s="156">
        <f>IF(AND(Assumptions!B59&lt;&gt;"",IFERROR(DATEVALUE(TEXT(Assumptions!B59,"MM/DD/YYYY")),0)&gt;=DATE(2027,5,1),IFERROR(DATEVALUE(TEXT(Assumptions!B59,"MM/DD/YYYY")),0)&lt;=DATE(2027,5,31)),MAX(0,Assumptions!G59-J15),0)</f>
        <v/>
      </c>
      <c r="K37" s="156">
        <f>IF(AND(Assumptions!B59&lt;&gt;"",IFERROR(DATEVALUE(TEXT(Assumptions!B59,"MM/DD/YYYY")),0)&gt;=DATE(2027,6,1),IFERROR(DATEVALUE(TEXT(Assumptions!B59,"MM/DD/YYYY")),0)&lt;=DATE(2027,6,30)),MAX(0,Assumptions!G59-K15),0)</f>
        <v/>
      </c>
      <c r="L37" s="156">
        <f>IF(AND(Assumptions!B59&lt;&gt;"",IFERROR(DATEVALUE(TEXT(Assumptions!B59,"MM/DD/YYYY")),0)&gt;=DATE(2027,7,1),IFERROR(DATEVALUE(TEXT(Assumptions!B59,"MM/DD/YYYY")),0)&lt;=DATE(2027,7,31)),MAX(0,Assumptions!G59-L15),0)</f>
        <v/>
      </c>
      <c r="M37" s="156">
        <f>IF(AND(Assumptions!B59&lt;&gt;"",IFERROR(DATEVALUE(TEXT(Assumptions!B59,"MM/DD/YYYY")),0)&gt;=DATE(2027,8,1),IFERROR(DATEVALUE(TEXT(Assumptions!B59,"MM/DD/YYYY")),0)&lt;=DATE(2027,8,31)),MAX(0,Assumptions!G59-M15),0)</f>
        <v/>
      </c>
      <c r="N37" s="156">
        <f>IF(AND(Assumptions!B59&lt;&gt;"",IFERROR(DATEVALUE(TEXT(Assumptions!B59,"MM/DD/YYYY")),0)&gt;=DATE(2027,9,1),IFERROR(DATEVALUE(TEXT(Assumptions!B59,"MM/DD/YYYY")),0)&lt;=DATE(2027,9,30)),MAX(0,Assumptions!G59-N15),0)</f>
        <v/>
      </c>
      <c r="O37" s="156">
        <f>IF(AND(Assumptions!B59&lt;&gt;"",IFERROR(DATEVALUE(TEXT(Assumptions!B59,"MM/DD/YYYY")),0)&gt;=DATE(2027,10,1),IFERROR(DATEVALUE(TEXT(Assumptions!B59,"MM/DD/YYYY")),0)&lt;=DATE(2027,10,31)),MAX(0,Assumptions!G59-O15),0)</f>
        <v/>
      </c>
      <c r="P37" s="156">
        <f>IF(AND(Assumptions!B59&lt;&gt;"",IFERROR(DATEVALUE(TEXT(Assumptions!B59,"MM/DD/YYYY")),0)&gt;=DATE(2027,11,1),IFERROR(DATEVALUE(TEXT(Assumptions!B59,"MM/DD/YYYY")),0)&lt;=DATE(2027,11,30)),MAX(0,Assumptions!G59-P15),0)</f>
        <v/>
      </c>
      <c r="Q37" s="156">
        <f>IF(AND(Assumptions!B59&lt;&gt;"",IFERROR(DATEVALUE(TEXT(Assumptions!B59,"MM/DD/YYYY")),0)&gt;=DATE(2027,12,1),IFERROR(DATEVALUE(TEXT(Assumptions!B59,"MM/DD/YYYY")),0)&lt;=DATE(2027,12,31)),MAX(0,Assumptions!G59-Q15),0)</f>
        <v/>
      </c>
      <c r="R37" s="156">
        <f>IF(AND(Assumptions!B59&lt;&gt;"",IFERROR(DATEVALUE(TEXT(Assumptions!B59,"MM/DD/YYYY")),0)&gt;=DATE(2028,1,1),IFERROR(DATEVALUE(TEXT(Assumptions!B59,"MM/DD/YYYY")),0)&lt;=DATE(2028,1,31)),MAX(0,Assumptions!G59-R15),0)</f>
        <v/>
      </c>
      <c r="S37" s="156">
        <f>IF(AND(Assumptions!B59&lt;&gt;"",IFERROR(DATEVALUE(TEXT(Assumptions!B59,"MM/DD/YYYY")),0)&gt;=DATE(2028,2,1),IFERROR(DATEVALUE(TEXT(Assumptions!B59,"MM/DD/YYYY")),0)&lt;=DATE(2028,2,29)),MAX(0,Assumptions!G59-S15),0)</f>
        <v/>
      </c>
      <c r="T37" s="156">
        <f>IF(AND(Assumptions!B59&lt;&gt;"",IFERROR(DATEVALUE(TEXT(Assumptions!B59,"MM/DD/YYYY")),0)&gt;=DATE(2028,3,1),IFERROR(DATEVALUE(TEXT(Assumptions!B59,"MM/DD/YYYY")),0)&lt;=DATE(2028,3,31)),MAX(0,Assumptions!G59-T15),0)</f>
        <v/>
      </c>
      <c r="U37" s="156">
        <f>IF(AND(Assumptions!B59&lt;&gt;"",IFERROR(DATEVALUE(TEXT(Assumptions!B59,"MM/DD/YYYY")),0)&gt;=DATE(2028,4,1),IFERROR(DATEVALUE(TEXT(Assumptions!B59,"MM/DD/YYYY")),0)&lt;=DATE(2028,4,30)),MAX(0,Assumptions!G59-U15),0)</f>
        <v/>
      </c>
      <c r="V37" s="156">
        <f>IF(AND(Assumptions!B59&lt;&gt;"",IFERROR(DATEVALUE(TEXT(Assumptions!B59,"MM/DD/YYYY")),0)&gt;=DATE(2028,5,1),IFERROR(DATEVALUE(TEXT(Assumptions!B59,"MM/DD/YYYY")),0)&lt;=DATE(2028,5,31)),MAX(0,Assumptions!G59-V15),0)</f>
        <v/>
      </c>
      <c r="W37" s="156">
        <f>IF(AND(Assumptions!B59&lt;&gt;"",IFERROR(DATEVALUE(TEXT(Assumptions!B59,"MM/DD/YYYY")),0)&gt;=DATE(2028,6,1),IFERROR(DATEVALUE(TEXT(Assumptions!B59,"MM/DD/YYYY")),0)&lt;=DATE(2028,6,30)),MAX(0,Assumptions!G59-W15),0)</f>
        <v/>
      </c>
      <c r="X37" s="156">
        <f>IF(AND(Assumptions!B59&lt;&gt;"",IFERROR(DATEVALUE(TEXT(Assumptions!B59,"MM/DD/YYYY")),0)&gt;=DATE(2028,7,1),IFERROR(DATEVALUE(TEXT(Assumptions!B59,"MM/DD/YYYY")),0)&lt;=DATE(2028,7,31)),MAX(0,Assumptions!G59-X15),0)</f>
        <v/>
      </c>
      <c r="Y37" s="156">
        <f>IF(AND(Assumptions!B59&lt;&gt;"",IFERROR(DATEVALUE(TEXT(Assumptions!B59,"MM/DD/YYYY")),0)&gt;=DATE(2028,8,1),IFERROR(DATEVALUE(TEXT(Assumptions!B59,"MM/DD/YYYY")),0)&lt;=DATE(2028,8,31)),MAX(0,Assumptions!G59-Y15),0)</f>
        <v/>
      </c>
      <c r="Z37" s="156">
        <f>IF(AND(Assumptions!B59&lt;&gt;"",IFERROR(DATEVALUE(TEXT(Assumptions!B59,"MM/DD/YYYY")),0)&gt;=DATE(2028,9,1),IFERROR(DATEVALUE(TEXT(Assumptions!B59,"MM/DD/YYYY")),0)&lt;=DATE(2028,9,30)),MAX(0,Assumptions!G59-Z15),0)</f>
        <v/>
      </c>
      <c r="AA37" s="156">
        <f>IF(AND(Assumptions!B59&lt;&gt;"",IFERROR(DATEVALUE(TEXT(Assumptions!B59,"MM/DD/YYYY")),0)&gt;=DATE(2028,10,1),IFERROR(DATEVALUE(TEXT(Assumptions!B59,"MM/DD/YYYY")),0)&lt;=DATE(2028,10,31)),MAX(0,Assumptions!G59-AA15),0)</f>
        <v/>
      </c>
      <c r="AB37" s="156">
        <f>IF(AND(Assumptions!B59&lt;&gt;"",IFERROR(DATEVALUE(TEXT(Assumptions!B59,"MM/DD/YYYY")),0)&gt;=DATE(2028,11,1),IFERROR(DATEVALUE(TEXT(Assumptions!B59,"MM/DD/YYYY")),0)&lt;=DATE(2028,11,30)),MAX(0,Assumptions!G59-AB15),0)</f>
        <v/>
      </c>
      <c r="AC37" s="156">
        <f>IF(AND(Assumptions!B59&lt;&gt;"",IFERROR(DATEVALUE(TEXT(Assumptions!B59,"MM/DD/YYYY")),0)&gt;=DATE(2028,12,1),IFERROR(DATEVALUE(TEXT(Assumptions!B59,"MM/DD/YYYY")),0)&lt;=DATE(2028,12,31)),MAX(0,Assumptions!G59-AC15),0)</f>
        <v/>
      </c>
      <c r="AD37" s="156">
        <f>IF(AND(Assumptions!B59&lt;&gt;"",IFERROR(DATEVALUE(TEXT(Assumptions!B59,"MM/DD/YYYY")),0)&gt;=DATE(2029,1,1),IFERROR(DATEVALUE(TEXT(Assumptions!B59,"MM/DD/YYYY")),0)&lt;=DATE(2029,1,31)),MAX(0,Assumptions!G59-AD15),0)</f>
        <v/>
      </c>
      <c r="AE37" s="156">
        <f>IF(AND(Assumptions!B59&lt;&gt;"",IFERROR(DATEVALUE(TEXT(Assumptions!B59,"MM/DD/YYYY")),0)&gt;=DATE(2029,2,1),IFERROR(DATEVALUE(TEXT(Assumptions!B59,"MM/DD/YYYY")),0)&lt;=DATE(2029,2,28)),MAX(0,Assumptions!G59-AE15),0)</f>
        <v/>
      </c>
      <c r="AF37" s="156">
        <f>IF(AND(Assumptions!B59&lt;&gt;"",IFERROR(DATEVALUE(TEXT(Assumptions!B59,"MM/DD/YYYY")),0)&gt;=DATE(2029,3,1),IFERROR(DATEVALUE(TEXT(Assumptions!B59,"MM/DD/YYYY")),0)&lt;=DATE(2029,3,31)),MAX(0,Assumptions!G59-AF15),0)</f>
        <v/>
      </c>
      <c r="AG37" s="156">
        <f>IF(AND(Assumptions!B59&lt;&gt;"",IFERROR(DATEVALUE(TEXT(Assumptions!B59,"MM/DD/YYYY")),0)&gt;=DATE(2029,4,1),IFERROR(DATEVALUE(TEXT(Assumptions!B59,"MM/DD/YYYY")),0)&lt;=DATE(2029,4,30)),MAX(0,Assumptions!G59-AG15),0)</f>
        <v/>
      </c>
      <c r="AH37" s="156">
        <f>IF(AND(Assumptions!B59&lt;&gt;"",IFERROR(DATEVALUE(TEXT(Assumptions!B59,"MM/DD/YYYY")),0)&gt;=DATE(2029,5,1),IFERROR(DATEVALUE(TEXT(Assumptions!B59,"MM/DD/YYYY")),0)&lt;=DATE(2029,5,31)),MAX(0,Assumptions!G59-AH15),0)</f>
        <v/>
      </c>
      <c r="AI37" s="156">
        <f>IF(AND(Assumptions!B59&lt;&gt;"",IFERROR(DATEVALUE(TEXT(Assumptions!B59,"MM/DD/YYYY")),0)&gt;=DATE(2029,6,1),IFERROR(DATEVALUE(TEXT(Assumptions!B59,"MM/DD/YYYY")),0)&lt;=DATE(2029,6,30)),MAX(0,Assumptions!G59-AI15),0)</f>
        <v/>
      </c>
      <c r="AJ37" s="156">
        <f>IF(AND(Assumptions!B59&lt;&gt;"",IFERROR(DATEVALUE(TEXT(Assumptions!B59,"MM/DD/YYYY")),0)&gt;=DATE(2029,7,1),IFERROR(DATEVALUE(TEXT(Assumptions!B59,"MM/DD/YYYY")),0)&lt;=DATE(2029,7,31)),MAX(0,Assumptions!G59-AJ15),0)</f>
        <v/>
      </c>
      <c r="AK37" s="156">
        <f>IF(AND(Assumptions!B59&lt;&gt;"",IFERROR(DATEVALUE(TEXT(Assumptions!B59,"MM/DD/YYYY")),0)&gt;=DATE(2029,8,1),IFERROR(DATEVALUE(TEXT(Assumptions!B59,"MM/DD/YYYY")),0)&lt;=DATE(2029,8,31)),MAX(0,Assumptions!G59-AK15),0)</f>
        <v/>
      </c>
      <c r="AL37" s="156">
        <f>IF(AND(Assumptions!B59&lt;&gt;"",IFERROR(DATEVALUE(TEXT(Assumptions!B59,"MM/DD/YYYY")),0)&gt;=DATE(2029,9,1),IFERROR(DATEVALUE(TEXT(Assumptions!B59,"MM/DD/YYYY")),0)&lt;=DATE(2029,9,30)),MAX(0,Assumptions!G59-AL15),0)</f>
        <v/>
      </c>
      <c r="AM37" s="221" t="n">
        <v>0</v>
      </c>
      <c r="AN37" s="156">
        <f>IF(AND(Assumptions!B59&lt;&gt;"",IFERROR(DATEVALUE(TEXT(Assumptions!B59,"MM/DD/YYYY")),0)&gt;=DATE(2029,11,1),IFERROR(DATEVALUE(TEXT(Assumptions!B59,"MM/DD/YYYY")),0)&lt;=DATE(2029,11,30)),MAX(0,Assumptions!G59-AN15),0)</f>
        <v/>
      </c>
      <c r="AO37" s="156">
        <f>IF(AND(Assumptions!B59&lt;&gt;"",IFERROR(DATEVALUE(TEXT(Assumptions!B59,"MM/DD/YYYY")),0)&gt;=DATE(2029,12,1),IFERROR(DATEVALUE(TEXT(Assumptions!B59,"MM/DD/YYYY")),0)&lt;=DATE(2029,12,31)),MAX(0,Assumptions!G59-AO15),0)</f>
        <v/>
      </c>
      <c r="AP37" s="156">
        <f>IF(AND(Assumptions!B59&lt;&gt;"",IFERROR(DATEVALUE(TEXT(Assumptions!B59,"MM/DD/YYYY")),0)&gt;=DATE(2030,1,1),IFERROR(DATEVALUE(TEXT(Assumptions!B59,"MM/DD/YYYY")),0)&lt;=DATE(2030,1,31)),MAX(0,Assumptions!G59-AP15),0)</f>
        <v/>
      </c>
      <c r="AQ37" s="156">
        <f>IF(AND(Assumptions!B59&lt;&gt;"",IFERROR(DATEVALUE(TEXT(Assumptions!B59,"MM/DD/YYYY")),0)&gt;=DATE(2030,2,1),IFERROR(DATEVALUE(TEXT(Assumptions!B59,"MM/DD/YYYY")),0)&lt;=DATE(2030,2,28)),MAX(0,Assumptions!G59-AQ15),0)</f>
        <v/>
      </c>
      <c r="AR37" s="156">
        <f>IF(AND(Assumptions!B59&lt;&gt;"",IFERROR(DATEVALUE(TEXT(Assumptions!B59,"MM/DD/YYYY")),0)&gt;=DATE(2030,3,1),IFERROR(DATEVALUE(TEXT(Assumptions!B59,"MM/DD/YYYY")),0)&lt;=DATE(2030,3,31)),MAX(0,Assumptions!G59-AR15),0)</f>
        <v/>
      </c>
      <c r="AS37" s="156">
        <f>IF(AND(Assumptions!B59&lt;&gt;"",IFERROR(DATEVALUE(TEXT(Assumptions!B59,"MM/DD/YYYY")),0)&gt;=DATE(2030,4,1),IFERROR(DATEVALUE(TEXT(Assumptions!B59,"MM/DD/YYYY")),0)&lt;=DATE(2030,4,30)),MAX(0,Assumptions!G59-AS15),0)</f>
        <v/>
      </c>
      <c r="AT37" s="156">
        <f>IF(AND(Assumptions!B59&lt;&gt;"",IFERROR(DATEVALUE(TEXT(Assumptions!B59,"MM/DD/YYYY")),0)&gt;=DATE(2030,5,1),IFERROR(DATEVALUE(TEXT(Assumptions!B59,"MM/DD/YYYY")),0)&lt;=DATE(2030,5,31)),MAX(0,Assumptions!G59-AT15),0)</f>
        <v/>
      </c>
      <c r="AU37" s="156">
        <f>IF(AND(Assumptions!B59&lt;&gt;"",IFERROR(DATEVALUE(TEXT(Assumptions!B59,"MM/DD/YYYY")),0)&gt;=DATE(2030,6,1),IFERROR(DATEVALUE(TEXT(Assumptions!B59,"MM/DD/YYYY")),0)&lt;=DATE(2030,6,30)),MAX(0,Assumptions!G59-AU15),0)</f>
        <v/>
      </c>
      <c r="AV37" s="156">
        <f>IF(AND(Assumptions!B59&lt;&gt;"",IFERROR(DATEVALUE(TEXT(Assumptions!B59,"MM/DD/YYYY")),0)&gt;=DATE(2030,7,1),IFERROR(DATEVALUE(TEXT(Assumptions!B59,"MM/DD/YYYY")),0)&lt;=DATE(2030,7,31)),MAX(0,Assumptions!G59-AV15),0)</f>
        <v/>
      </c>
      <c r="AW37" s="156">
        <f>IF(AND(Assumptions!B59&lt;&gt;"",IFERROR(DATEVALUE(TEXT(Assumptions!B59,"MM/DD/YYYY")),0)&gt;=DATE(2030,8,1),IFERROR(DATEVALUE(TEXT(Assumptions!B59,"MM/DD/YYYY")),0)&lt;=DATE(2030,8,31)),MAX(0,Assumptions!G59-AW15),0)</f>
        <v/>
      </c>
      <c r="AX37" s="156">
        <f>IF(AND(Assumptions!B59&lt;&gt;"",IFERROR(DATEVALUE(TEXT(Assumptions!B59,"MM/DD/YYYY")),0)&gt;=DATE(2030,9,1),IFERROR(DATEVALUE(TEXT(Assumptions!B59,"MM/DD/YYYY")),0)&lt;=DATE(2030,9,30)),MAX(0,Assumptions!G59-AX15),0)</f>
        <v/>
      </c>
      <c r="AY37" s="156">
        <f>IF(AND(Assumptions!B59&lt;&gt;"",IFERROR(DATEVALUE(TEXT(Assumptions!B59,"MM/DD/YYYY")),0)&gt;=DATE(2030,10,1),IFERROR(DATEVALUE(TEXT(Assumptions!B59,"MM/DD/YYYY")),0)&lt;=DATE(2030,10,31)),MAX(0,Assumptions!G59-AY15),0)</f>
        <v/>
      </c>
      <c r="AZ37" s="156">
        <f>IF(AND(Assumptions!B59&lt;&gt;"",IFERROR(DATEVALUE(TEXT(Assumptions!B59,"MM/DD/YYYY")),0)&gt;=DATE(2030,11,1),IFERROR(DATEVALUE(TEXT(Assumptions!B59,"MM/DD/YYYY")),0)&lt;=DATE(2030,11,30)),MAX(0,Assumptions!G59-AZ15),0)</f>
        <v/>
      </c>
      <c r="BA37" s="156">
        <f>IF(AND(Assumptions!B59&lt;&gt;"",IFERROR(DATEVALUE(TEXT(Assumptions!B59,"MM/DD/YYYY")),0)&gt;=DATE(2030,12,1),IFERROR(DATEVALUE(TEXT(Assumptions!B59,"MM/DD/YYYY")),0)&lt;=DATE(2030,12,31)),MAX(0,Assumptions!G59-BA15),0)</f>
        <v/>
      </c>
      <c r="BB37" s="156">
        <f>IF(AND(Assumptions!B59&lt;&gt;"",IFERROR(DATEVALUE(TEXT(Assumptions!B59,"MM/DD/YYYY")),0)&gt;=DATE(2031,1,1),IFERROR(DATEVALUE(TEXT(Assumptions!B59,"MM/DD/YYYY")),0)&lt;=DATE(2031,1,31)),MAX(0,Assumptions!G59-BB15),0)</f>
        <v/>
      </c>
      <c r="BC37" s="156">
        <f>IF(AND(Assumptions!B59&lt;&gt;"",IFERROR(DATEVALUE(TEXT(Assumptions!B59,"MM/DD/YYYY")),0)&gt;=DATE(2031,2,1),IFERROR(DATEVALUE(TEXT(Assumptions!B59,"MM/DD/YYYY")),0)&lt;=DATE(2031,2,28)),MAX(0,Assumptions!G59-BC15),0)</f>
        <v/>
      </c>
      <c r="BD37" s="156">
        <f>IF(AND(Assumptions!B59&lt;&gt;"",IFERROR(DATEVALUE(TEXT(Assumptions!B59,"MM/DD/YYYY")),0)&gt;=DATE(2031,3,1),IFERROR(DATEVALUE(TEXT(Assumptions!B59,"MM/DD/YYYY")),0)&lt;=DATE(2031,3,31)),MAX(0,Assumptions!G59-BD15),0)</f>
        <v/>
      </c>
      <c r="BE37" s="156">
        <f>IF(AND(Assumptions!B59&lt;&gt;"",IFERROR(DATEVALUE(TEXT(Assumptions!B59,"MM/DD/YYYY")),0)&gt;=DATE(2031,4,1),IFERROR(DATEVALUE(TEXT(Assumptions!B59,"MM/DD/YYYY")),0)&lt;=DATE(2031,4,30)),MAX(0,Assumptions!G59-BE15),0)</f>
        <v/>
      </c>
      <c r="BF37" s="156">
        <f>IF(AND(Assumptions!B59&lt;&gt;"",IFERROR(DATEVALUE(TEXT(Assumptions!B59,"MM/DD/YYYY")),0)&gt;=DATE(2031,5,1),IFERROR(DATEVALUE(TEXT(Assumptions!B59,"MM/DD/YYYY")),0)&lt;=DATE(2031,5,31)),MAX(0,Assumptions!G59-BF15),0)</f>
        <v/>
      </c>
      <c r="BG37" s="156">
        <f>IF(AND(Assumptions!B59&lt;&gt;"",IFERROR(DATEVALUE(TEXT(Assumptions!B59,"MM/DD/YYYY")),0)&gt;=DATE(2031,6,1),IFERROR(DATEVALUE(TEXT(Assumptions!B59,"MM/DD/YYYY")),0)&lt;=DATE(2031,6,30)),MAX(0,Assumptions!G59-BG15),0)</f>
        <v/>
      </c>
      <c r="BH37" s="156">
        <f>IF(AND(Assumptions!B59&lt;&gt;"",IFERROR(DATEVALUE(TEXT(Assumptions!B59,"MM/DD/YYYY")),0)&gt;=DATE(2031,7,1),IFERROR(DATEVALUE(TEXT(Assumptions!B59,"MM/DD/YYYY")),0)&lt;=DATE(2031,7,31)),MAX(0,Assumptions!G59-BH15),0)</f>
        <v/>
      </c>
      <c r="BI37" s="156">
        <f>IF(AND(Assumptions!B59&lt;&gt;"",IFERROR(DATEVALUE(TEXT(Assumptions!B59,"MM/DD/YYYY")),0)&gt;=DATE(2031,8,1),IFERROR(DATEVALUE(TEXT(Assumptions!B59,"MM/DD/YYYY")),0)&lt;=DATE(2031,8,31)),MAX(0,Assumptions!G59-BI15),0)</f>
        <v/>
      </c>
      <c r="BJ37" s="156">
        <f>IF(AND(Assumptions!B59&lt;&gt;"",IFERROR(DATEVALUE(TEXT(Assumptions!B59,"MM/DD/YYYY")),0)&gt;=DATE(2031,9,1),IFERROR(DATEVALUE(TEXT(Assumptions!B59,"MM/DD/YYYY")),0)&lt;=DATE(2031,9,30)),MAX(0,Assumptions!G59-BJ15),0)</f>
        <v/>
      </c>
      <c r="BL37" s="157">
        <f>C37+D37+E37+F37+G37+H37+I37+J37+K37+L37+M37+N37</f>
        <v/>
      </c>
      <c r="BM37" s="157">
        <f>O37+P37+Q37+R37+S37+T37+U37+V37+W37+X37+Y37+Z37</f>
        <v/>
      </c>
      <c r="BN37" s="157">
        <f>AA37+AB37+AC37+AD37+AE37+AF37+AG37+AH37+AI37+AJ37+AK37+AL37</f>
        <v/>
      </c>
      <c r="BO37" s="222" t="n">
        <v>0</v>
      </c>
      <c r="BP37" s="157">
        <f>AY37+AZ37+BA37+BB37+BC37+BD37+BE37+BF37+BG37+BH37+BI37+BJ37</f>
        <v/>
      </c>
    </row>
    <row r="38" ht="15" customHeight="1" s="104">
      <c r="A38" s="107" t="inlineStr">
        <is>
          <t xml:space="preserve">    Add-On 10 Equity Contribution</t>
        </is>
      </c>
      <c r="C38" s="156">
        <f>IF(AND(Assumptions!B60&lt;&gt;"",IFERROR(DATEVALUE(TEXT(Assumptions!B60,"MM/DD/YYYY")),0)&gt;=DATE(2026,10,1),IFERROR(DATEVALUE(TEXT(Assumptions!B60,"MM/DD/YYYY")),0)&lt;=DATE(2026,10,31)),MAX(0,Assumptions!G60-C16),0)</f>
        <v/>
      </c>
      <c r="D38" s="156">
        <f>IF(AND(Assumptions!B60&lt;&gt;"",IFERROR(DATEVALUE(TEXT(Assumptions!B60,"MM/DD/YYYY")),0)&gt;=DATE(2026,11,1),IFERROR(DATEVALUE(TEXT(Assumptions!B60,"MM/DD/YYYY")),0)&lt;=DATE(2026,11,30)),MAX(0,Assumptions!G60-D16),0)</f>
        <v/>
      </c>
      <c r="E38" s="156">
        <f>IF(AND(Assumptions!B60&lt;&gt;"",IFERROR(DATEVALUE(TEXT(Assumptions!B60,"MM/DD/YYYY")),0)&gt;=DATE(2026,12,1),IFERROR(DATEVALUE(TEXT(Assumptions!B60,"MM/DD/YYYY")),0)&lt;=DATE(2026,12,31)),MAX(0,Assumptions!G60-E16),0)</f>
        <v/>
      </c>
      <c r="F38" s="156">
        <f>IF(AND(Assumptions!B60&lt;&gt;"",IFERROR(DATEVALUE(TEXT(Assumptions!B60,"MM/DD/YYYY")),0)&gt;=DATE(2027,1,1),IFERROR(DATEVALUE(TEXT(Assumptions!B60,"MM/DD/YYYY")),0)&lt;=DATE(2027,1,31)),MAX(0,Assumptions!G60-F16),0)</f>
        <v/>
      </c>
      <c r="G38" s="156">
        <f>IF(AND(Assumptions!B60&lt;&gt;"",IFERROR(DATEVALUE(TEXT(Assumptions!B60,"MM/DD/YYYY")),0)&gt;=DATE(2027,2,1),IFERROR(DATEVALUE(TEXT(Assumptions!B60,"MM/DD/YYYY")),0)&lt;=DATE(2027,2,28)),MAX(0,Assumptions!G60-G16),0)</f>
        <v/>
      </c>
      <c r="H38" s="156">
        <f>IF(AND(Assumptions!B60&lt;&gt;"",IFERROR(DATEVALUE(TEXT(Assumptions!B60,"MM/DD/YYYY")),0)&gt;=DATE(2027,3,1),IFERROR(DATEVALUE(TEXT(Assumptions!B60,"MM/DD/YYYY")),0)&lt;=DATE(2027,3,31)),MAX(0,Assumptions!G60-H16),0)</f>
        <v/>
      </c>
      <c r="I38" s="156">
        <f>IF(AND(Assumptions!B60&lt;&gt;"",IFERROR(DATEVALUE(TEXT(Assumptions!B60,"MM/DD/YYYY")),0)&gt;=DATE(2027,4,1),IFERROR(DATEVALUE(TEXT(Assumptions!B60,"MM/DD/YYYY")),0)&lt;=DATE(2027,4,30)),MAX(0,Assumptions!G60-I16),0)</f>
        <v/>
      </c>
      <c r="J38" s="156">
        <f>IF(AND(Assumptions!B60&lt;&gt;"",IFERROR(DATEVALUE(TEXT(Assumptions!B60,"MM/DD/YYYY")),0)&gt;=DATE(2027,5,1),IFERROR(DATEVALUE(TEXT(Assumptions!B60,"MM/DD/YYYY")),0)&lt;=DATE(2027,5,31)),MAX(0,Assumptions!G60-J16),0)</f>
        <v/>
      </c>
      <c r="K38" s="156">
        <f>IF(AND(Assumptions!B60&lt;&gt;"",IFERROR(DATEVALUE(TEXT(Assumptions!B60,"MM/DD/YYYY")),0)&gt;=DATE(2027,6,1),IFERROR(DATEVALUE(TEXT(Assumptions!B60,"MM/DD/YYYY")),0)&lt;=DATE(2027,6,30)),MAX(0,Assumptions!G60-K16),0)</f>
        <v/>
      </c>
      <c r="L38" s="156">
        <f>IF(AND(Assumptions!B60&lt;&gt;"",IFERROR(DATEVALUE(TEXT(Assumptions!B60,"MM/DD/YYYY")),0)&gt;=DATE(2027,7,1),IFERROR(DATEVALUE(TEXT(Assumptions!B60,"MM/DD/YYYY")),0)&lt;=DATE(2027,7,31)),MAX(0,Assumptions!G60-L16),0)</f>
        <v/>
      </c>
      <c r="M38" s="156">
        <f>IF(AND(Assumptions!B60&lt;&gt;"",IFERROR(DATEVALUE(TEXT(Assumptions!B60,"MM/DD/YYYY")),0)&gt;=DATE(2027,8,1),IFERROR(DATEVALUE(TEXT(Assumptions!B60,"MM/DD/YYYY")),0)&lt;=DATE(2027,8,31)),MAX(0,Assumptions!G60-M16),0)</f>
        <v/>
      </c>
      <c r="N38" s="156">
        <f>IF(AND(Assumptions!B60&lt;&gt;"",IFERROR(DATEVALUE(TEXT(Assumptions!B60,"MM/DD/YYYY")),0)&gt;=DATE(2027,9,1),IFERROR(DATEVALUE(TEXT(Assumptions!B60,"MM/DD/YYYY")),0)&lt;=DATE(2027,9,30)),MAX(0,Assumptions!G60-N16),0)</f>
        <v/>
      </c>
      <c r="O38" s="156">
        <f>IF(AND(Assumptions!B60&lt;&gt;"",IFERROR(DATEVALUE(TEXT(Assumptions!B60,"MM/DD/YYYY")),0)&gt;=DATE(2027,10,1),IFERROR(DATEVALUE(TEXT(Assumptions!B60,"MM/DD/YYYY")),0)&lt;=DATE(2027,10,31)),MAX(0,Assumptions!G60-O16),0)</f>
        <v/>
      </c>
      <c r="P38" s="156">
        <f>IF(AND(Assumptions!B60&lt;&gt;"",IFERROR(DATEVALUE(TEXT(Assumptions!B60,"MM/DD/YYYY")),0)&gt;=DATE(2027,11,1),IFERROR(DATEVALUE(TEXT(Assumptions!B60,"MM/DD/YYYY")),0)&lt;=DATE(2027,11,30)),MAX(0,Assumptions!G60-P16),0)</f>
        <v/>
      </c>
      <c r="Q38" s="156">
        <f>IF(AND(Assumptions!B60&lt;&gt;"",IFERROR(DATEVALUE(TEXT(Assumptions!B60,"MM/DD/YYYY")),0)&gt;=DATE(2027,12,1),IFERROR(DATEVALUE(TEXT(Assumptions!B60,"MM/DD/YYYY")),0)&lt;=DATE(2027,12,31)),MAX(0,Assumptions!G60-Q16),0)</f>
        <v/>
      </c>
      <c r="R38" s="156">
        <f>IF(AND(Assumptions!B60&lt;&gt;"",IFERROR(DATEVALUE(TEXT(Assumptions!B60,"MM/DD/YYYY")),0)&gt;=DATE(2028,1,1),IFERROR(DATEVALUE(TEXT(Assumptions!B60,"MM/DD/YYYY")),0)&lt;=DATE(2028,1,31)),MAX(0,Assumptions!G60-R16),0)</f>
        <v/>
      </c>
      <c r="S38" s="156">
        <f>IF(AND(Assumptions!B60&lt;&gt;"",IFERROR(DATEVALUE(TEXT(Assumptions!B60,"MM/DD/YYYY")),0)&gt;=DATE(2028,2,1),IFERROR(DATEVALUE(TEXT(Assumptions!B60,"MM/DD/YYYY")),0)&lt;=DATE(2028,2,29)),MAX(0,Assumptions!G60-S16),0)</f>
        <v/>
      </c>
      <c r="T38" s="156">
        <f>IF(AND(Assumptions!B60&lt;&gt;"",IFERROR(DATEVALUE(TEXT(Assumptions!B60,"MM/DD/YYYY")),0)&gt;=DATE(2028,3,1),IFERROR(DATEVALUE(TEXT(Assumptions!B60,"MM/DD/YYYY")),0)&lt;=DATE(2028,3,31)),MAX(0,Assumptions!G60-T16),0)</f>
        <v/>
      </c>
      <c r="U38" s="156">
        <f>IF(AND(Assumptions!B60&lt;&gt;"",IFERROR(DATEVALUE(TEXT(Assumptions!B60,"MM/DD/YYYY")),0)&gt;=DATE(2028,4,1),IFERROR(DATEVALUE(TEXT(Assumptions!B60,"MM/DD/YYYY")),0)&lt;=DATE(2028,4,30)),MAX(0,Assumptions!G60-U16),0)</f>
        <v/>
      </c>
      <c r="V38" s="156">
        <f>IF(AND(Assumptions!B60&lt;&gt;"",IFERROR(DATEVALUE(TEXT(Assumptions!B60,"MM/DD/YYYY")),0)&gt;=DATE(2028,5,1),IFERROR(DATEVALUE(TEXT(Assumptions!B60,"MM/DD/YYYY")),0)&lt;=DATE(2028,5,31)),MAX(0,Assumptions!G60-V16),0)</f>
        <v/>
      </c>
      <c r="W38" s="156">
        <f>IF(AND(Assumptions!B60&lt;&gt;"",IFERROR(DATEVALUE(TEXT(Assumptions!B60,"MM/DD/YYYY")),0)&gt;=DATE(2028,6,1),IFERROR(DATEVALUE(TEXT(Assumptions!B60,"MM/DD/YYYY")),0)&lt;=DATE(2028,6,30)),MAX(0,Assumptions!G60-W16),0)</f>
        <v/>
      </c>
      <c r="X38" s="156">
        <f>IF(AND(Assumptions!B60&lt;&gt;"",IFERROR(DATEVALUE(TEXT(Assumptions!B60,"MM/DD/YYYY")),0)&gt;=DATE(2028,7,1),IFERROR(DATEVALUE(TEXT(Assumptions!B60,"MM/DD/YYYY")),0)&lt;=DATE(2028,7,31)),MAX(0,Assumptions!G60-X16),0)</f>
        <v/>
      </c>
      <c r="Y38" s="156">
        <f>IF(AND(Assumptions!B60&lt;&gt;"",IFERROR(DATEVALUE(TEXT(Assumptions!B60,"MM/DD/YYYY")),0)&gt;=DATE(2028,8,1),IFERROR(DATEVALUE(TEXT(Assumptions!B60,"MM/DD/YYYY")),0)&lt;=DATE(2028,8,31)),MAX(0,Assumptions!G60-Y16),0)</f>
        <v/>
      </c>
      <c r="Z38" s="156">
        <f>IF(AND(Assumptions!B60&lt;&gt;"",IFERROR(DATEVALUE(TEXT(Assumptions!B60,"MM/DD/YYYY")),0)&gt;=DATE(2028,9,1),IFERROR(DATEVALUE(TEXT(Assumptions!B60,"MM/DD/YYYY")),0)&lt;=DATE(2028,9,30)),MAX(0,Assumptions!G60-Z16),0)</f>
        <v/>
      </c>
      <c r="AA38" s="156">
        <f>IF(AND(Assumptions!B60&lt;&gt;"",IFERROR(DATEVALUE(TEXT(Assumptions!B60,"MM/DD/YYYY")),0)&gt;=DATE(2028,10,1),IFERROR(DATEVALUE(TEXT(Assumptions!B60,"MM/DD/YYYY")),0)&lt;=DATE(2028,10,31)),MAX(0,Assumptions!G60-AA16),0)</f>
        <v/>
      </c>
      <c r="AB38" s="156">
        <f>IF(AND(Assumptions!B60&lt;&gt;"",IFERROR(DATEVALUE(TEXT(Assumptions!B60,"MM/DD/YYYY")),0)&gt;=DATE(2028,11,1),IFERROR(DATEVALUE(TEXT(Assumptions!B60,"MM/DD/YYYY")),0)&lt;=DATE(2028,11,30)),MAX(0,Assumptions!G60-AB16),0)</f>
        <v/>
      </c>
      <c r="AC38" s="156">
        <f>IF(AND(Assumptions!B60&lt;&gt;"",IFERROR(DATEVALUE(TEXT(Assumptions!B60,"MM/DD/YYYY")),0)&gt;=DATE(2028,12,1),IFERROR(DATEVALUE(TEXT(Assumptions!B60,"MM/DD/YYYY")),0)&lt;=DATE(2028,12,31)),MAX(0,Assumptions!G60-AC16),0)</f>
        <v/>
      </c>
      <c r="AD38" s="156">
        <f>IF(AND(Assumptions!B60&lt;&gt;"",IFERROR(DATEVALUE(TEXT(Assumptions!B60,"MM/DD/YYYY")),0)&gt;=DATE(2029,1,1),IFERROR(DATEVALUE(TEXT(Assumptions!B60,"MM/DD/YYYY")),0)&lt;=DATE(2029,1,31)),MAX(0,Assumptions!G60-AD16),0)</f>
        <v/>
      </c>
      <c r="AE38" s="156">
        <f>IF(AND(Assumptions!B60&lt;&gt;"",IFERROR(DATEVALUE(TEXT(Assumptions!B60,"MM/DD/YYYY")),0)&gt;=DATE(2029,2,1),IFERROR(DATEVALUE(TEXT(Assumptions!B60,"MM/DD/YYYY")),0)&lt;=DATE(2029,2,28)),MAX(0,Assumptions!G60-AE16),0)</f>
        <v/>
      </c>
      <c r="AF38" s="156">
        <f>IF(AND(Assumptions!B60&lt;&gt;"",IFERROR(DATEVALUE(TEXT(Assumptions!B60,"MM/DD/YYYY")),0)&gt;=DATE(2029,3,1),IFERROR(DATEVALUE(TEXT(Assumptions!B60,"MM/DD/YYYY")),0)&lt;=DATE(2029,3,31)),MAX(0,Assumptions!G60-AF16),0)</f>
        <v/>
      </c>
      <c r="AG38" s="156">
        <f>IF(AND(Assumptions!B60&lt;&gt;"",IFERROR(DATEVALUE(TEXT(Assumptions!B60,"MM/DD/YYYY")),0)&gt;=DATE(2029,4,1),IFERROR(DATEVALUE(TEXT(Assumptions!B60,"MM/DD/YYYY")),0)&lt;=DATE(2029,4,30)),MAX(0,Assumptions!G60-AG16),0)</f>
        <v/>
      </c>
      <c r="AH38" s="156">
        <f>IF(AND(Assumptions!B60&lt;&gt;"",IFERROR(DATEVALUE(TEXT(Assumptions!B60,"MM/DD/YYYY")),0)&gt;=DATE(2029,5,1),IFERROR(DATEVALUE(TEXT(Assumptions!B60,"MM/DD/YYYY")),0)&lt;=DATE(2029,5,31)),MAX(0,Assumptions!G60-AH16),0)</f>
        <v/>
      </c>
      <c r="AI38" s="156">
        <f>IF(AND(Assumptions!B60&lt;&gt;"",IFERROR(DATEVALUE(TEXT(Assumptions!B60,"MM/DD/YYYY")),0)&gt;=DATE(2029,6,1),IFERROR(DATEVALUE(TEXT(Assumptions!B60,"MM/DD/YYYY")),0)&lt;=DATE(2029,6,30)),MAX(0,Assumptions!G60-AI16),0)</f>
        <v/>
      </c>
      <c r="AJ38" s="156">
        <f>IF(AND(Assumptions!B60&lt;&gt;"",IFERROR(DATEVALUE(TEXT(Assumptions!B60,"MM/DD/YYYY")),0)&gt;=DATE(2029,7,1),IFERROR(DATEVALUE(TEXT(Assumptions!B60,"MM/DD/YYYY")),0)&lt;=DATE(2029,7,31)),MAX(0,Assumptions!G60-AJ16),0)</f>
        <v/>
      </c>
      <c r="AK38" s="156">
        <f>IF(AND(Assumptions!B60&lt;&gt;"",IFERROR(DATEVALUE(TEXT(Assumptions!B60,"MM/DD/YYYY")),0)&gt;=DATE(2029,8,1),IFERROR(DATEVALUE(TEXT(Assumptions!B60,"MM/DD/YYYY")),0)&lt;=DATE(2029,8,31)),MAX(0,Assumptions!G60-AK16),0)</f>
        <v/>
      </c>
      <c r="AL38" s="156">
        <f>IF(AND(Assumptions!B60&lt;&gt;"",IFERROR(DATEVALUE(TEXT(Assumptions!B60,"MM/DD/YYYY")),0)&gt;=DATE(2029,9,1),IFERROR(DATEVALUE(TEXT(Assumptions!B60,"MM/DD/YYYY")),0)&lt;=DATE(2029,9,30)),MAX(0,Assumptions!G60-AL16),0)</f>
        <v/>
      </c>
      <c r="AM38" s="156">
        <f>IF(AND(Assumptions!B60&lt;&gt;"",IFERROR(DATEVALUE(TEXT(Assumptions!B60,"MM/DD/YYYY")),0)&gt;=DATE(2029,10,1),IFERROR(DATEVALUE(TEXT(Assumptions!B60,"MM/DD/YYYY")),0)&lt;=DATE(2029,10,31)),MAX(0,Assumptions!G60-AM16),0)</f>
        <v/>
      </c>
      <c r="AN38" s="156">
        <f>IF(AND(Assumptions!B60&lt;&gt;"",IFERROR(DATEVALUE(TEXT(Assumptions!B60,"MM/DD/YYYY")),0)&gt;=DATE(2029,11,1),IFERROR(DATEVALUE(TEXT(Assumptions!B60,"MM/DD/YYYY")),0)&lt;=DATE(2029,11,30)),MAX(0,Assumptions!G60-AN16),0)</f>
        <v/>
      </c>
      <c r="AO38" s="156">
        <f>IF(AND(Assumptions!B60&lt;&gt;"",IFERROR(DATEVALUE(TEXT(Assumptions!B60,"MM/DD/YYYY")),0)&gt;=DATE(2029,12,1),IFERROR(DATEVALUE(TEXT(Assumptions!B60,"MM/DD/YYYY")),0)&lt;=DATE(2029,12,31)),MAX(0,Assumptions!G60-AO16),0)</f>
        <v/>
      </c>
      <c r="AP38" s="221" t="n">
        <v>0</v>
      </c>
      <c r="AQ38" s="156">
        <f>IF(AND(Assumptions!B60&lt;&gt;"",IFERROR(DATEVALUE(TEXT(Assumptions!B60,"MM/DD/YYYY")),0)&gt;=DATE(2030,2,1),IFERROR(DATEVALUE(TEXT(Assumptions!B60,"MM/DD/YYYY")),0)&lt;=DATE(2030,2,28)),MAX(0,Assumptions!G60-AQ16),0)</f>
        <v/>
      </c>
      <c r="AR38" s="156">
        <f>IF(AND(Assumptions!B60&lt;&gt;"",IFERROR(DATEVALUE(TEXT(Assumptions!B60,"MM/DD/YYYY")),0)&gt;=DATE(2030,3,1),IFERROR(DATEVALUE(TEXT(Assumptions!B60,"MM/DD/YYYY")),0)&lt;=DATE(2030,3,31)),MAX(0,Assumptions!G60-AR16),0)</f>
        <v/>
      </c>
      <c r="AS38" s="156">
        <f>IF(AND(Assumptions!B60&lt;&gt;"",IFERROR(DATEVALUE(TEXT(Assumptions!B60,"MM/DD/YYYY")),0)&gt;=DATE(2030,4,1),IFERROR(DATEVALUE(TEXT(Assumptions!B60,"MM/DD/YYYY")),0)&lt;=DATE(2030,4,30)),MAX(0,Assumptions!G60-AS16),0)</f>
        <v/>
      </c>
      <c r="AT38" s="156">
        <f>IF(AND(Assumptions!B60&lt;&gt;"",IFERROR(DATEVALUE(TEXT(Assumptions!B60,"MM/DD/YYYY")),0)&gt;=DATE(2030,5,1),IFERROR(DATEVALUE(TEXT(Assumptions!B60,"MM/DD/YYYY")),0)&lt;=DATE(2030,5,31)),MAX(0,Assumptions!G60-AT16),0)</f>
        <v/>
      </c>
      <c r="AU38" s="156">
        <f>IF(AND(Assumptions!B60&lt;&gt;"",IFERROR(DATEVALUE(TEXT(Assumptions!B60,"MM/DD/YYYY")),0)&gt;=DATE(2030,6,1),IFERROR(DATEVALUE(TEXT(Assumptions!B60,"MM/DD/YYYY")),0)&lt;=DATE(2030,6,30)),MAX(0,Assumptions!G60-AU16),0)</f>
        <v/>
      </c>
      <c r="AV38" s="156">
        <f>IF(AND(Assumptions!B60&lt;&gt;"",IFERROR(DATEVALUE(TEXT(Assumptions!B60,"MM/DD/YYYY")),0)&gt;=DATE(2030,7,1),IFERROR(DATEVALUE(TEXT(Assumptions!B60,"MM/DD/YYYY")),0)&lt;=DATE(2030,7,31)),MAX(0,Assumptions!G60-AV16),0)</f>
        <v/>
      </c>
      <c r="AW38" s="156">
        <f>IF(AND(Assumptions!B60&lt;&gt;"",IFERROR(DATEVALUE(TEXT(Assumptions!B60,"MM/DD/YYYY")),0)&gt;=DATE(2030,8,1),IFERROR(DATEVALUE(TEXT(Assumptions!B60,"MM/DD/YYYY")),0)&lt;=DATE(2030,8,31)),MAX(0,Assumptions!G60-AW16),0)</f>
        <v/>
      </c>
      <c r="AX38" s="156">
        <f>IF(AND(Assumptions!B60&lt;&gt;"",IFERROR(DATEVALUE(TEXT(Assumptions!B60,"MM/DD/YYYY")),0)&gt;=DATE(2030,9,1),IFERROR(DATEVALUE(TEXT(Assumptions!B60,"MM/DD/YYYY")),0)&lt;=DATE(2030,9,30)),MAX(0,Assumptions!G60-AX16),0)</f>
        <v/>
      </c>
      <c r="AY38" s="156">
        <f>IF(AND(Assumptions!B60&lt;&gt;"",IFERROR(DATEVALUE(TEXT(Assumptions!B60,"MM/DD/YYYY")),0)&gt;=DATE(2030,10,1),IFERROR(DATEVALUE(TEXT(Assumptions!B60,"MM/DD/YYYY")),0)&lt;=DATE(2030,10,31)),MAX(0,Assumptions!G60-AY16),0)</f>
        <v/>
      </c>
      <c r="AZ38" s="156">
        <f>IF(AND(Assumptions!B60&lt;&gt;"",IFERROR(DATEVALUE(TEXT(Assumptions!B60,"MM/DD/YYYY")),0)&gt;=DATE(2030,11,1),IFERROR(DATEVALUE(TEXT(Assumptions!B60,"MM/DD/YYYY")),0)&lt;=DATE(2030,11,30)),MAX(0,Assumptions!G60-AZ16),0)</f>
        <v/>
      </c>
      <c r="BA38" s="156">
        <f>IF(AND(Assumptions!B60&lt;&gt;"",IFERROR(DATEVALUE(TEXT(Assumptions!B60,"MM/DD/YYYY")),0)&gt;=DATE(2030,12,1),IFERROR(DATEVALUE(TEXT(Assumptions!B60,"MM/DD/YYYY")),0)&lt;=DATE(2030,12,31)),MAX(0,Assumptions!G60-BA16),0)</f>
        <v/>
      </c>
      <c r="BB38" s="156">
        <f>IF(AND(Assumptions!B60&lt;&gt;"",IFERROR(DATEVALUE(TEXT(Assumptions!B60,"MM/DD/YYYY")),0)&gt;=DATE(2031,1,1),IFERROR(DATEVALUE(TEXT(Assumptions!B60,"MM/DD/YYYY")),0)&lt;=DATE(2031,1,31)),MAX(0,Assumptions!G60-BB16),0)</f>
        <v/>
      </c>
      <c r="BC38" s="156">
        <f>IF(AND(Assumptions!B60&lt;&gt;"",IFERROR(DATEVALUE(TEXT(Assumptions!B60,"MM/DD/YYYY")),0)&gt;=DATE(2031,2,1),IFERROR(DATEVALUE(TEXT(Assumptions!B60,"MM/DD/YYYY")),0)&lt;=DATE(2031,2,28)),MAX(0,Assumptions!G60-BC16),0)</f>
        <v/>
      </c>
      <c r="BD38" s="156">
        <f>IF(AND(Assumptions!B60&lt;&gt;"",IFERROR(DATEVALUE(TEXT(Assumptions!B60,"MM/DD/YYYY")),0)&gt;=DATE(2031,3,1),IFERROR(DATEVALUE(TEXT(Assumptions!B60,"MM/DD/YYYY")),0)&lt;=DATE(2031,3,31)),MAX(0,Assumptions!G60-BD16),0)</f>
        <v/>
      </c>
      <c r="BE38" s="156">
        <f>IF(AND(Assumptions!B60&lt;&gt;"",IFERROR(DATEVALUE(TEXT(Assumptions!B60,"MM/DD/YYYY")),0)&gt;=DATE(2031,4,1),IFERROR(DATEVALUE(TEXT(Assumptions!B60,"MM/DD/YYYY")),0)&lt;=DATE(2031,4,30)),MAX(0,Assumptions!G60-BE16),0)</f>
        <v/>
      </c>
      <c r="BF38" s="156">
        <f>IF(AND(Assumptions!B60&lt;&gt;"",IFERROR(DATEVALUE(TEXT(Assumptions!B60,"MM/DD/YYYY")),0)&gt;=DATE(2031,5,1),IFERROR(DATEVALUE(TEXT(Assumptions!B60,"MM/DD/YYYY")),0)&lt;=DATE(2031,5,31)),MAX(0,Assumptions!G60-BF16),0)</f>
        <v/>
      </c>
      <c r="BG38" s="156">
        <f>IF(AND(Assumptions!B60&lt;&gt;"",IFERROR(DATEVALUE(TEXT(Assumptions!B60,"MM/DD/YYYY")),0)&gt;=DATE(2031,6,1),IFERROR(DATEVALUE(TEXT(Assumptions!B60,"MM/DD/YYYY")),0)&lt;=DATE(2031,6,30)),MAX(0,Assumptions!G60-BG16),0)</f>
        <v/>
      </c>
      <c r="BH38" s="156">
        <f>IF(AND(Assumptions!B60&lt;&gt;"",IFERROR(DATEVALUE(TEXT(Assumptions!B60,"MM/DD/YYYY")),0)&gt;=DATE(2031,7,1),IFERROR(DATEVALUE(TEXT(Assumptions!B60,"MM/DD/YYYY")),0)&lt;=DATE(2031,7,31)),MAX(0,Assumptions!G60-BH16),0)</f>
        <v/>
      </c>
      <c r="BI38" s="156">
        <f>IF(AND(Assumptions!B60&lt;&gt;"",IFERROR(DATEVALUE(TEXT(Assumptions!B60,"MM/DD/YYYY")),0)&gt;=DATE(2031,8,1),IFERROR(DATEVALUE(TEXT(Assumptions!B60,"MM/DD/YYYY")),0)&lt;=DATE(2031,8,31)),MAX(0,Assumptions!G60-BI16),0)</f>
        <v/>
      </c>
      <c r="BJ38" s="156">
        <f>IF(AND(Assumptions!B60&lt;&gt;"",IFERROR(DATEVALUE(TEXT(Assumptions!B60,"MM/DD/YYYY")),0)&gt;=DATE(2031,9,1),IFERROR(DATEVALUE(TEXT(Assumptions!B60,"MM/DD/YYYY")),0)&lt;=DATE(2031,9,30)),MAX(0,Assumptions!G60-BJ16),0)</f>
        <v/>
      </c>
      <c r="BL38" s="157">
        <f>C38+D38+E38+F38+G38+H38+I38+J38+K38+L38+M38+N38</f>
        <v/>
      </c>
      <c r="BM38" s="157">
        <f>O38+P38+Q38+R38+S38+T38+U38+V38+W38+X38+Y38+Z38</f>
        <v/>
      </c>
      <c r="BN38" s="157">
        <f>AA38+AB38+AC38+AD38+AE38+AF38+AG38+AH38+AI38+AJ38+AK38+AL38</f>
        <v/>
      </c>
      <c r="BO38" s="222" t="n">
        <v>0</v>
      </c>
      <c r="BP38" s="157">
        <f>AY38+AZ38+BA38+BB38+BC38+BD38+BE38+BF38+BG38+BH38+BI38+BJ38</f>
        <v/>
      </c>
    </row>
    <row r="40" ht="15" customHeight="1" s="104">
      <c r="A40" s="175" t="inlineStr">
        <is>
          <t>LEVERAGE METRICS</t>
        </is>
      </c>
    </row>
    <row r="41" ht="15" customHeight="1" s="104">
      <c r="A41" s="107" t="inlineStr">
        <is>
          <t>Run-Rate EBITDA (Current Month × 12)</t>
        </is>
      </c>
      <c r="C41" s="156">
        <f>'Consolidated P&amp;L'!C23*12</f>
        <v/>
      </c>
      <c r="D41" s="156">
        <f>'Consolidated P&amp;L'!D23*12</f>
        <v/>
      </c>
      <c r="E41" s="156">
        <f>'Consolidated P&amp;L'!E23*12</f>
        <v/>
      </c>
      <c r="F41" s="156">
        <f>'Consolidated P&amp;L'!F23*12</f>
        <v/>
      </c>
      <c r="G41" s="156">
        <f>'Consolidated P&amp;L'!G23*12</f>
        <v/>
      </c>
      <c r="H41" s="156">
        <f>'Consolidated P&amp;L'!H23*12</f>
        <v/>
      </c>
      <c r="I41" s="156">
        <f>'Consolidated P&amp;L'!I23*12</f>
        <v/>
      </c>
      <c r="J41" s="156">
        <f>'Consolidated P&amp;L'!J23*12</f>
        <v/>
      </c>
      <c r="K41" s="156">
        <f>'Consolidated P&amp;L'!K23*12</f>
        <v/>
      </c>
      <c r="L41" s="156">
        <f>'Consolidated P&amp;L'!L23*12</f>
        <v/>
      </c>
      <c r="M41" s="156">
        <f>'Consolidated P&amp;L'!M23*12</f>
        <v/>
      </c>
      <c r="N41" s="156">
        <f>'Consolidated P&amp;L'!N23*12</f>
        <v/>
      </c>
      <c r="O41" s="156">
        <f>'Consolidated P&amp;L'!O23*12</f>
        <v/>
      </c>
      <c r="P41" s="156">
        <f>'Consolidated P&amp;L'!P23*12</f>
        <v/>
      </c>
      <c r="Q41" s="156">
        <f>'Consolidated P&amp;L'!Q23*12</f>
        <v/>
      </c>
      <c r="R41" s="156">
        <f>'Consolidated P&amp;L'!R23*12</f>
        <v/>
      </c>
      <c r="S41" s="156">
        <f>'Consolidated P&amp;L'!S23*12</f>
        <v/>
      </c>
      <c r="T41" s="156">
        <f>'Consolidated P&amp;L'!T23*12</f>
        <v/>
      </c>
      <c r="U41" s="156">
        <f>'Consolidated P&amp;L'!U23*12</f>
        <v/>
      </c>
      <c r="V41" s="156">
        <f>'Consolidated P&amp;L'!V23*12</f>
        <v/>
      </c>
      <c r="W41" s="156">
        <f>'Consolidated P&amp;L'!W23*12</f>
        <v/>
      </c>
      <c r="X41" s="156">
        <f>'Consolidated P&amp;L'!X23*12</f>
        <v/>
      </c>
      <c r="Y41" s="156">
        <f>'Consolidated P&amp;L'!Y23*12</f>
        <v/>
      </c>
      <c r="Z41" s="156">
        <f>'Consolidated P&amp;L'!Z23*12</f>
        <v/>
      </c>
      <c r="AA41" s="156">
        <f>'Consolidated P&amp;L'!AA23*12</f>
        <v/>
      </c>
      <c r="AB41" s="156">
        <f>'Consolidated P&amp;L'!AB23*12</f>
        <v/>
      </c>
      <c r="AC41" s="156">
        <f>'Consolidated P&amp;L'!AC23*12</f>
        <v/>
      </c>
      <c r="AD41" s="156">
        <f>'Consolidated P&amp;L'!AD23*12</f>
        <v/>
      </c>
      <c r="AE41" s="156">
        <f>'Consolidated P&amp;L'!AE23*12</f>
        <v/>
      </c>
      <c r="AF41" s="156">
        <f>'Consolidated P&amp;L'!AF23*12</f>
        <v/>
      </c>
      <c r="AG41" s="156">
        <f>'Consolidated P&amp;L'!AG23*12</f>
        <v/>
      </c>
      <c r="AH41" s="156">
        <f>'Consolidated P&amp;L'!AH23*12</f>
        <v/>
      </c>
      <c r="AI41" s="156">
        <f>'Consolidated P&amp;L'!AI23*12</f>
        <v/>
      </c>
      <c r="AJ41" s="156">
        <f>'Consolidated P&amp;L'!AJ23*12</f>
        <v/>
      </c>
      <c r="AK41" s="156">
        <f>'Consolidated P&amp;L'!AK23*12</f>
        <v/>
      </c>
      <c r="AL41" s="156">
        <f>'Consolidated P&amp;L'!AL23*12</f>
        <v/>
      </c>
      <c r="AM41" s="156">
        <f>'Consolidated P&amp;L'!AM23*12</f>
        <v/>
      </c>
      <c r="AN41" s="156">
        <f>'Consolidated P&amp;L'!AN23*12</f>
        <v/>
      </c>
      <c r="AO41" s="156">
        <f>'Consolidated P&amp;L'!AO23*12</f>
        <v/>
      </c>
      <c r="AP41" s="156">
        <f>'Consolidated P&amp;L'!AP23*12</f>
        <v/>
      </c>
      <c r="AQ41" s="156">
        <f>'Consolidated P&amp;L'!AQ23*12</f>
        <v/>
      </c>
      <c r="AR41" s="156">
        <f>'Consolidated P&amp;L'!AR23*12</f>
        <v/>
      </c>
      <c r="AS41" s="156">
        <f>'Consolidated P&amp;L'!AS23*12</f>
        <v/>
      </c>
      <c r="AT41" s="156">
        <f>'Consolidated P&amp;L'!AT23*12</f>
        <v/>
      </c>
      <c r="AU41" s="156">
        <f>'Consolidated P&amp;L'!AU23*12</f>
        <v/>
      </c>
      <c r="AV41" s="156">
        <f>'Consolidated P&amp;L'!AV23*12</f>
        <v/>
      </c>
      <c r="AW41" s="156">
        <f>'Consolidated P&amp;L'!AW23*12</f>
        <v/>
      </c>
      <c r="AX41" s="156">
        <f>'Consolidated P&amp;L'!AX23*12</f>
        <v/>
      </c>
      <c r="AY41" s="156">
        <f>'Consolidated P&amp;L'!AY23*12</f>
        <v/>
      </c>
      <c r="AZ41" s="156">
        <f>'Consolidated P&amp;L'!AZ23*12</f>
        <v/>
      </c>
      <c r="BA41" s="156">
        <f>'Consolidated P&amp;L'!BA23*12</f>
        <v/>
      </c>
      <c r="BB41" s="156">
        <f>'Consolidated P&amp;L'!BB23*12</f>
        <v/>
      </c>
      <c r="BC41" s="156">
        <f>'Consolidated P&amp;L'!BC23*12</f>
        <v/>
      </c>
      <c r="BD41" s="156">
        <f>'Consolidated P&amp;L'!BD23*12</f>
        <v/>
      </c>
      <c r="BE41" s="156">
        <f>'Consolidated P&amp;L'!BE23*12</f>
        <v/>
      </c>
      <c r="BF41" s="156">
        <f>'Consolidated P&amp;L'!BF23*12</f>
        <v/>
      </c>
      <c r="BG41" s="156">
        <f>'Consolidated P&amp;L'!BG23*12</f>
        <v/>
      </c>
      <c r="BH41" s="156">
        <f>'Consolidated P&amp;L'!BH23*12</f>
        <v/>
      </c>
      <c r="BI41" s="156">
        <f>'Consolidated P&amp;L'!BI23*12</f>
        <v/>
      </c>
      <c r="BJ41" s="156">
        <f>'Consolidated P&amp;L'!BJ23*12</f>
        <v/>
      </c>
      <c r="BL41" s="157">
        <f>'Consolidated P&amp;L'!N23*12</f>
        <v/>
      </c>
      <c r="BM41" s="157">
        <f>'Consolidated P&amp;L'!Z23*12</f>
        <v/>
      </c>
      <c r="BN41" s="157">
        <f>'Consolidated P&amp;L'!AL23*12</f>
        <v/>
      </c>
      <c r="BO41" s="157">
        <f>'Consolidated P&amp;L'!AX23*12</f>
        <v/>
      </c>
      <c r="BP41" s="157">
        <f>'Consolidated P&amp;L'!BJ23*12</f>
        <v/>
      </c>
    </row>
    <row r="42" ht="15" customHeight="1" s="104">
      <c r="A42" s="116" t="inlineStr">
        <is>
          <t>Ending Debt / Run-Rate EBITDA (x)</t>
        </is>
      </c>
      <c r="C42" s="190">
        <f>IF(C41=0,0,C19/C41)</f>
        <v/>
      </c>
      <c r="D42" s="190">
        <f>IF(D41=0,0,D19/D41)</f>
        <v/>
      </c>
      <c r="E42" s="190">
        <f>IF(E41=0,0,E19/E41)</f>
        <v/>
      </c>
      <c r="F42" s="190">
        <f>IF(F41=0,0,F19/F41)</f>
        <v/>
      </c>
      <c r="G42" s="190">
        <f>IF(G41=0,0,G19/G41)</f>
        <v/>
      </c>
      <c r="H42" s="190">
        <f>IF(H41=0,0,H19/H41)</f>
        <v/>
      </c>
      <c r="I42" s="190">
        <f>IF(I41=0,0,I19/I41)</f>
        <v/>
      </c>
      <c r="J42" s="190">
        <f>IF(J41=0,0,J19/J41)</f>
        <v/>
      </c>
      <c r="K42" s="190">
        <f>IF(K41=0,0,K19/K41)</f>
        <v/>
      </c>
      <c r="L42" s="190">
        <f>IF(L41=0,0,L19/L41)</f>
        <v/>
      </c>
      <c r="M42" s="190">
        <f>IF(M41=0,0,M19/M41)</f>
        <v/>
      </c>
      <c r="N42" s="190">
        <f>IF(N41=0,0,N19/N41)</f>
        <v/>
      </c>
      <c r="O42" s="190">
        <f>IF(O41=0,0,O19/O41)</f>
        <v/>
      </c>
      <c r="P42" s="190">
        <f>IF(P41=0,0,P19/P41)</f>
        <v/>
      </c>
      <c r="Q42" s="190">
        <f>IF(Q41=0,0,Q19/Q41)</f>
        <v/>
      </c>
      <c r="R42" s="190">
        <f>IF(R41=0,0,R19/R41)</f>
        <v/>
      </c>
      <c r="S42" s="190">
        <f>IF(S41=0,0,S19/S41)</f>
        <v/>
      </c>
      <c r="T42" s="190">
        <f>IF(T41=0,0,T19/T41)</f>
        <v/>
      </c>
      <c r="U42" s="190">
        <f>IF(U41=0,0,U19/U41)</f>
        <v/>
      </c>
      <c r="V42" s="190">
        <f>IF(V41=0,0,V19/V41)</f>
        <v/>
      </c>
      <c r="W42" s="190">
        <f>IF(W41=0,0,W19/W41)</f>
        <v/>
      </c>
      <c r="X42" s="190">
        <f>IF(X41=0,0,X19/X41)</f>
        <v/>
      </c>
      <c r="Y42" s="190">
        <f>IF(Y41=0,0,Y19/Y41)</f>
        <v/>
      </c>
      <c r="Z42" s="190">
        <f>IF(Z41=0,0,Z19/Z41)</f>
        <v/>
      </c>
      <c r="AA42" s="190">
        <f>IF(AA41=0,0,AA19/AA41)</f>
        <v/>
      </c>
      <c r="AB42" s="190">
        <f>IF(AB41=0,0,AB19/AB41)</f>
        <v/>
      </c>
      <c r="AC42" s="190">
        <f>IF(AC41=0,0,AC19/AC41)</f>
        <v/>
      </c>
      <c r="AD42" s="190">
        <f>IF(AD41=0,0,AD19/AD41)</f>
        <v/>
      </c>
      <c r="AE42" s="190">
        <f>IF(AE41=0,0,AE19/AE41)</f>
        <v/>
      </c>
      <c r="AF42" s="190">
        <f>IF(AF41=0,0,AF19/AF41)</f>
        <v/>
      </c>
      <c r="AG42" s="190">
        <f>IF(AG41=0,0,AG19/AG41)</f>
        <v/>
      </c>
      <c r="AH42" s="190">
        <f>IF(AH41=0,0,AH19/AH41)</f>
        <v/>
      </c>
      <c r="AI42" s="190">
        <f>IF(AI41=0,0,AI19/AI41)</f>
        <v/>
      </c>
      <c r="AJ42" s="190">
        <f>IF(AJ41=0,0,AJ19/AJ41)</f>
        <v/>
      </c>
      <c r="AK42" s="190">
        <f>IF(AK41=0,0,AK19/AK41)</f>
        <v/>
      </c>
      <c r="AL42" s="190">
        <f>IF(AL41=0,0,AL19/AL41)</f>
        <v/>
      </c>
      <c r="AM42" s="190">
        <f>IF(AM41=0,0,AM19/AM41)</f>
        <v/>
      </c>
      <c r="AN42" s="190">
        <f>IF(AN41=0,0,AN19/AN41)</f>
        <v/>
      </c>
      <c r="AO42" s="190">
        <f>IF(AO41=0,0,AO19/AO41)</f>
        <v/>
      </c>
      <c r="AP42" s="190">
        <f>IF(AP41=0,0,AP19/AP41)</f>
        <v/>
      </c>
      <c r="AQ42" s="190">
        <f>IF(AQ41=0,0,AQ19/AQ41)</f>
        <v/>
      </c>
      <c r="AR42" s="190">
        <f>IF(AR41=0,0,AR19/AR41)</f>
        <v/>
      </c>
      <c r="AS42" s="190">
        <f>IF(AS41=0,0,AS19/AS41)</f>
        <v/>
      </c>
      <c r="AT42" s="190">
        <f>IF(AT41=0,0,AT19/AT41)</f>
        <v/>
      </c>
      <c r="AU42" s="190">
        <f>IF(AU41=0,0,AU19/AU41)</f>
        <v/>
      </c>
      <c r="AV42" s="190">
        <f>IF(AV41=0,0,AV19/AV41)</f>
        <v/>
      </c>
      <c r="AW42" s="190">
        <f>IF(AW41=0,0,AW19/AW41)</f>
        <v/>
      </c>
      <c r="AX42" s="190">
        <f>IF(AX41=0,0,AX19/AX41)</f>
        <v/>
      </c>
      <c r="AY42" s="190">
        <f>IF(AY41=0,0,AY19/AY41)</f>
        <v/>
      </c>
      <c r="AZ42" s="190">
        <f>IF(AZ41=0,0,AZ19/AZ41)</f>
        <v/>
      </c>
      <c r="BA42" s="190">
        <f>IF(BA41=0,0,BA19/BA41)</f>
        <v/>
      </c>
      <c r="BB42" s="190">
        <f>IF(BB41=0,0,BB19/BB41)</f>
        <v/>
      </c>
      <c r="BC42" s="190">
        <f>IF(BC41=0,0,BC19/BC41)</f>
        <v/>
      </c>
      <c r="BD42" s="190">
        <f>IF(BD41=0,0,BD19/BD41)</f>
        <v/>
      </c>
      <c r="BE42" s="190">
        <f>IF(BE41=0,0,BE19/BE41)</f>
        <v/>
      </c>
      <c r="BF42" s="190">
        <f>IF(BF41=0,0,BF19/BF41)</f>
        <v/>
      </c>
      <c r="BG42" s="190">
        <f>IF(BG41=0,0,BG19/BG41)</f>
        <v/>
      </c>
      <c r="BH42" s="190">
        <f>IF(BH41=0,0,BH19/BH41)</f>
        <v/>
      </c>
      <c r="BI42" s="190">
        <f>IF(BI41=0,0,BI19/BI41)</f>
        <v/>
      </c>
      <c r="BJ42" s="190">
        <f>IF(BJ41=0,0,BJ19/BJ41)</f>
        <v/>
      </c>
      <c r="BL42" s="223">
        <f>IF(N41=0,0,N19/N41)</f>
        <v/>
      </c>
      <c r="BM42" s="223">
        <f>IF(Z41=0,0,Z19/Z41)</f>
        <v/>
      </c>
      <c r="BN42" s="223">
        <f>IF(AL41=0,0,AL19/AL41)</f>
        <v/>
      </c>
      <c r="BO42" s="223">
        <f>IF(AX41=0,0,AX19/AX41)</f>
        <v/>
      </c>
      <c r="BP42" s="223">
        <f>IF(BJ41=0,0,BJ19/BJ41)</f>
        <v/>
      </c>
    </row>
    <row r="43" ht="15" customHeight="1" s="104">
      <c r="A43" s="116" t="inlineStr">
        <is>
          <t>Interest Coverage – Run-Rate (EBITDA / Interest, x)</t>
        </is>
      </c>
      <c r="C43" s="190">
        <f>IF(C20=0,0,C41/12/C20)</f>
        <v/>
      </c>
      <c r="D43" s="190">
        <f>IF(D20=0,0,D41/12/D20)</f>
        <v/>
      </c>
      <c r="E43" s="190">
        <f>IF(E20=0,0,E41/12/E20)</f>
        <v/>
      </c>
      <c r="F43" s="190">
        <f>IF(F20=0,0,F41/12/F20)</f>
        <v/>
      </c>
      <c r="G43" s="190">
        <f>IF(G20=0,0,G41/12/G20)</f>
        <v/>
      </c>
      <c r="H43" s="190">
        <f>IF(H20=0,0,H41/12/H20)</f>
        <v/>
      </c>
      <c r="I43" s="190">
        <f>IF(I20=0,0,I41/12/I20)</f>
        <v/>
      </c>
      <c r="J43" s="190">
        <f>IF(J20=0,0,J41/12/J20)</f>
        <v/>
      </c>
      <c r="K43" s="190">
        <f>IF(K20=0,0,K41/12/K20)</f>
        <v/>
      </c>
      <c r="L43" s="190">
        <f>IF(L20=0,0,L41/12/L20)</f>
        <v/>
      </c>
      <c r="M43" s="190">
        <f>IF(M20=0,0,M41/12/M20)</f>
        <v/>
      </c>
      <c r="N43" s="190">
        <f>IF(N20=0,0,N41/12/N20)</f>
        <v/>
      </c>
      <c r="O43" s="190">
        <f>IF(O20=0,0,O41/12/O20)</f>
        <v/>
      </c>
      <c r="P43" s="190">
        <f>IF(P20=0,0,P41/12/P20)</f>
        <v/>
      </c>
      <c r="Q43" s="190">
        <f>IF(Q20=0,0,Q41/12/Q20)</f>
        <v/>
      </c>
      <c r="R43" s="190">
        <f>IF(R20=0,0,R41/12/R20)</f>
        <v/>
      </c>
      <c r="S43" s="190">
        <f>IF(S20=0,0,S41/12/S20)</f>
        <v/>
      </c>
      <c r="T43" s="190">
        <f>IF(T20=0,0,T41/12/T20)</f>
        <v/>
      </c>
      <c r="U43" s="190">
        <f>IF(U20=0,0,U41/12/U20)</f>
        <v/>
      </c>
      <c r="V43" s="190">
        <f>IF(V20=0,0,V41/12/V20)</f>
        <v/>
      </c>
      <c r="W43" s="190">
        <f>IF(W20=0,0,W41/12/W20)</f>
        <v/>
      </c>
      <c r="X43" s="190">
        <f>IF(X20=0,0,X41/12/X20)</f>
        <v/>
      </c>
      <c r="Y43" s="190">
        <f>IF(Y20=0,0,Y41/12/Y20)</f>
        <v/>
      </c>
      <c r="Z43" s="190">
        <f>IF(Z20=0,0,Z41/12/Z20)</f>
        <v/>
      </c>
      <c r="AA43" s="190">
        <f>IF(AA20=0,0,AA41/12/AA20)</f>
        <v/>
      </c>
      <c r="AB43" s="190">
        <f>IF(AB20=0,0,AB41/12/AB20)</f>
        <v/>
      </c>
      <c r="AC43" s="190">
        <f>IF(AC20=0,0,AC41/12/AC20)</f>
        <v/>
      </c>
      <c r="AD43" s="190">
        <f>IF(AD20=0,0,AD41/12/AD20)</f>
        <v/>
      </c>
      <c r="AE43" s="190">
        <f>IF(AE20=0,0,AE41/12/AE20)</f>
        <v/>
      </c>
      <c r="AF43" s="190">
        <f>IF(AF20=0,0,AF41/12/AF20)</f>
        <v/>
      </c>
      <c r="AG43" s="190">
        <f>IF(AG20=0,0,AG41/12/AG20)</f>
        <v/>
      </c>
      <c r="AH43" s="190">
        <f>IF(AH20=0,0,AH41/12/AH20)</f>
        <v/>
      </c>
      <c r="AI43" s="190">
        <f>IF(AI20=0,0,AI41/12/AI20)</f>
        <v/>
      </c>
      <c r="AJ43" s="190">
        <f>IF(AJ20=0,0,AJ41/12/AJ20)</f>
        <v/>
      </c>
      <c r="AK43" s="190">
        <f>IF(AK20=0,0,AK41/12/AK20)</f>
        <v/>
      </c>
      <c r="AL43" s="190">
        <f>IF(AL20=0,0,AL41/12/AL20)</f>
        <v/>
      </c>
      <c r="AM43" s="190">
        <f>IF(AM20=0,0,AM41/12/AM20)</f>
        <v/>
      </c>
      <c r="AN43" s="190">
        <f>IF(AN20=0,0,AN41/12/AN20)</f>
        <v/>
      </c>
      <c r="AO43" s="190">
        <f>IF(AO20=0,0,AO41/12/AO20)</f>
        <v/>
      </c>
      <c r="AP43" s="190">
        <f>IF(AP20=0,0,AP41/12/AP20)</f>
        <v/>
      </c>
      <c r="AQ43" s="190">
        <f>IF(AQ20=0,0,AQ41/12/AQ20)</f>
        <v/>
      </c>
      <c r="AR43" s="190">
        <f>IF(AR20=0,0,AR41/12/AR20)</f>
        <v/>
      </c>
      <c r="AS43" s="190">
        <f>IF(AS20=0,0,AS41/12/AS20)</f>
        <v/>
      </c>
      <c r="AT43" s="190">
        <f>IF(AT20=0,0,AT41/12/AT20)</f>
        <v/>
      </c>
      <c r="AU43" s="190">
        <f>IF(AU20=0,0,AU41/12/AU20)</f>
        <v/>
      </c>
      <c r="AV43" s="190">
        <f>IF(AV20=0,0,AV41/12/AV20)</f>
        <v/>
      </c>
      <c r="AW43" s="190">
        <f>IF(AW20=0,0,AW41/12/AW20)</f>
        <v/>
      </c>
      <c r="AX43" s="190">
        <f>IF(AX20=0,0,AX41/12/AX20)</f>
        <v/>
      </c>
      <c r="AY43" s="190">
        <f>IF(AY20=0,0,AY41/12/AY20)</f>
        <v/>
      </c>
      <c r="AZ43" s="190">
        <f>IF(AZ20=0,0,AZ41/12/AZ20)</f>
        <v/>
      </c>
      <c r="BA43" s="190">
        <f>IF(BA20=0,0,BA41/12/BA20)</f>
        <v/>
      </c>
      <c r="BB43" s="190">
        <f>IF(BB20=0,0,BB41/12/BB20)</f>
        <v/>
      </c>
      <c r="BC43" s="190">
        <f>IF(BC20=0,0,BC41/12/BC20)</f>
        <v/>
      </c>
      <c r="BD43" s="190">
        <f>IF(BD20=0,0,BD41/12/BD20)</f>
        <v/>
      </c>
      <c r="BE43" s="190">
        <f>IF(BE20=0,0,BE41/12/BE20)</f>
        <v/>
      </c>
      <c r="BF43" s="190">
        <f>IF(BF20=0,0,BF41/12/BF20)</f>
        <v/>
      </c>
      <c r="BG43" s="190">
        <f>IF(BG20=0,0,BG41/12/BG20)</f>
        <v/>
      </c>
      <c r="BH43" s="190">
        <f>IF(BH20=0,0,BH41/12/BH20)</f>
        <v/>
      </c>
      <c r="BI43" s="190">
        <f>IF(BI20=0,0,BI41/12/BI20)</f>
        <v/>
      </c>
      <c r="BJ43" s="190">
        <f>IF(BJ20=0,0,BJ41/12/BJ20)</f>
        <v/>
      </c>
      <c r="BL43" s="223">
        <f>IF((C20+D20+E20+F20+G20+H20+I20+J20+K20+L20+M20+N20)=0,0,N41/(C20+D20+E20+F20+G20+H20+I20+J20+K20+L20+M20+N20))</f>
        <v/>
      </c>
      <c r="BM43" s="223">
        <f>IF((O20+P20+Q20+R20+S20+T20+U20+V20+W20+X20+Y20+Z20)=0,0,Z41/(O20+P20+Q20+R20+S20+T20+U20+V20+W20+X20+Y20+Z20))</f>
        <v/>
      </c>
      <c r="BN43" s="223">
        <f>IF((AA20+AB20+AC20+AD20+AE20+AF20+AG20+AH20+AI20+AJ20+AK20+AL20)=0,0,AL41/(AA20+AB20+AC20+AD20+AE20+AF20+AG20+AH20+AI20+AJ20+AK20+AL20))</f>
        <v/>
      </c>
      <c r="BO43" s="223">
        <f>IF((AM20+AN20+AO20+AP20+AQ20+AR20+AS20+AT20+AU20+AV20+AW20+AX20)=0,0,AX41/(AM20+AN20+AO20+AP20+AQ20+AR20+AS20+AT20+AU20+AV20+AW20+AX20))</f>
        <v/>
      </c>
      <c r="BP43" s="223">
        <f>IF((AY20+AZ20+BA20+BB20+BC20+BD20+BE20+BF20+BG20+BH20+BI20+BJ20)=0,0,BJ41/(AY20+AZ20+BA20+BB20+BC20+BD20+BE20+BF20+BG20+BH20+BI20+BJ20))</f>
        <v/>
      </c>
    </row>
    <row r="45" ht="15" customHeight="1" s="104">
      <c r="A45" s="224" t="inlineStr">
        <is>
          <t>Ending Debt / LTM EBITDA (x)</t>
        </is>
      </c>
      <c r="C45" s="225">
        <f>IF(C24=0,0,C19/C24)</f>
        <v/>
      </c>
      <c r="D45" s="225">
        <f>IF(D24=0,0,D19/D24)</f>
        <v/>
      </c>
      <c r="E45" s="225">
        <f>IF(E24=0,0,E19/E24)</f>
        <v/>
      </c>
      <c r="F45" s="225">
        <f>IF(F24=0,0,F19/F24)</f>
        <v/>
      </c>
      <c r="G45" s="225">
        <f>IF(G24=0,0,G19/G24)</f>
        <v/>
      </c>
      <c r="H45" s="225">
        <f>IF(H24=0,0,H19/H24)</f>
        <v/>
      </c>
      <c r="I45" s="225">
        <f>IF(I24=0,0,I19/I24)</f>
        <v/>
      </c>
      <c r="J45" s="225">
        <f>IF(J24=0,0,J19/J24)</f>
        <v/>
      </c>
      <c r="K45" s="225">
        <f>IF(K24=0,0,K19/K24)</f>
        <v/>
      </c>
      <c r="L45" s="225">
        <f>IF(L24=0,0,L19/L24)</f>
        <v/>
      </c>
      <c r="M45" s="225">
        <f>IF(M24=0,0,M19/M24)</f>
        <v/>
      </c>
      <c r="N45" s="225">
        <f>IF(N24=0,0,N19/N24)</f>
        <v/>
      </c>
      <c r="O45" s="225">
        <f>IF(O24=0,0,O19/O24)</f>
        <v/>
      </c>
      <c r="P45" s="225">
        <f>IF(P24=0,0,P19/P24)</f>
        <v/>
      </c>
      <c r="Q45" s="225">
        <f>IF(Q24=0,0,Q19/Q24)</f>
        <v/>
      </c>
      <c r="R45" s="225">
        <f>IF(R24=0,0,R19/R24)</f>
        <v/>
      </c>
      <c r="S45" s="225">
        <f>IF(S24=0,0,S19/S24)</f>
        <v/>
      </c>
      <c r="T45" s="225">
        <f>IF(T24=0,0,T19/T24)</f>
        <v/>
      </c>
      <c r="U45" s="225">
        <f>IF(U24=0,0,U19/U24)</f>
        <v/>
      </c>
      <c r="V45" s="225">
        <f>IF(V24=0,0,V19/V24)</f>
        <v/>
      </c>
      <c r="W45" s="225">
        <f>IF(W24=0,0,W19/W24)</f>
        <v/>
      </c>
      <c r="X45" s="225">
        <f>IF(X24=0,0,X19/X24)</f>
        <v/>
      </c>
      <c r="Y45" s="225">
        <f>IF(Y24=0,0,Y19/Y24)</f>
        <v/>
      </c>
      <c r="Z45" s="225">
        <f>IF(Z24=0,0,Z19/Z24)</f>
        <v/>
      </c>
      <c r="AA45" s="225">
        <f>IF(AA24=0,0,AA19/AA24)</f>
        <v/>
      </c>
      <c r="AB45" s="225">
        <f>IF(AB24=0,0,AB19/AB24)</f>
        <v/>
      </c>
      <c r="AC45" s="225">
        <f>IF(AC24=0,0,AC19/AC24)</f>
        <v/>
      </c>
      <c r="AD45" s="225">
        <f>IF(AD24=0,0,AD19/AD24)</f>
        <v/>
      </c>
      <c r="AE45" s="225">
        <f>IF(AE24=0,0,AE19/AE24)</f>
        <v/>
      </c>
      <c r="AF45" s="225">
        <f>IF(AF24=0,0,AF19/AF24)</f>
        <v/>
      </c>
      <c r="AG45" s="225">
        <f>IF(AG24=0,0,AG19/AG24)</f>
        <v/>
      </c>
      <c r="AH45" s="225">
        <f>IF(AH24=0,0,AH19/AH24)</f>
        <v/>
      </c>
      <c r="AI45" s="225">
        <f>IF(AI24=0,0,AI19/AI24)</f>
        <v/>
      </c>
      <c r="AJ45" s="225">
        <f>IF(AJ24=0,0,AJ19/AJ24)</f>
        <v/>
      </c>
      <c r="AK45" s="225">
        <f>IF(AK24=0,0,AK19/AK24)</f>
        <v/>
      </c>
      <c r="AL45" s="225">
        <f>IF(AL24=0,0,AL19/AL24)</f>
        <v/>
      </c>
      <c r="AM45" s="225">
        <f>IF(AM24=0,0,AM19/AM24)</f>
        <v/>
      </c>
      <c r="AN45" s="225">
        <f>IF(AN24=0,0,AN19/AN24)</f>
        <v/>
      </c>
      <c r="AO45" s="225">
        <f>IF(AO24=0,0,AO19/AO24)</f>
        <v/>
      </c>
      <c r="AP45" s="225">
        <f>IF(AP24=0,0,AP19/AP24)</f>
        <v/>
      </c>
      <c r="AQ45" s="225">
        <f>IF(AQ24=0,0,AQ19/AQ24)</f>
        <v/>
      </c>
      <c r="AR45" s="225">
        <f>IF(AR24=0,0,AR19/AR24)</f>
        <v/>
      </c>
      <c r="AS45" s="225">
        <f>IF(AS24=0,0,AS19/AS24)</f>
        <v/>
      </c>
      <c r="AT45" s="225">
        <f>IF(AT24=0,0,AT19/AT24)</f>
        <v/>
      </c>
      <c r="AU45" s="225">
        <f>IF(AU24=0,0,AU19/AU24)</f>
        <v/>
      </c>
      <c r="AV45" s="225">
        <f>IF(AV24=0,0,AV19/AV24)</f>
        <v/>
      </c>
      <c r="AW45" s="225">
        <f>IF(AW24=0,0,AW19/AW24)</f>
        <v/>
      </c>
      <c r="AX45" s="225">
        <f>IF(AX24=0,0,AX19/AX24)</f>
        <v/>
      </c>
      <c r="AY45" s="225">
        <f>IF(AY24=0,0,AY19/AY24)</f>
        <v/>
      </c>
      <c r="AZ45" s="225">
        <f>IF(AZ24=0,0,AZ19/AZ24)</f>
        <v/>
      </c>
      <c r="BA45" s="225">
        <f>IF(BA24=0,0,BA19/BA24)</f>
        <v/>
      </c>
      <c r="BB45" s="225">
        <f>IF(BB24=0,0,BB19/BB24)</f>
        <v/>
      </c>
      <c r="BC45" s="225">
        <f>IF(BC24=0,0,BC19/BC24)</f>
        <v/>
      </c>
      <c r="BD45" s="225">
        <f>IF(BD24=0,0,BD19/BD24)</f>
        <v/>
      </c>
      <c r="BE45" s="225">
        <f>IF(BE24=0,0,BE19/BE24)</f>
        <v/>
      </c>
      <c r="BF45" s="225">
        <f>IF(BF24=0,0,BF19/BF24)</f>
        <v/>
      </c>
      <c r="BG45" s="225">
        <f>IF(BG24=0,0,BG19/BG24)</f>
        <v/>
      </c>
      <c r="BH45" s="225">
        <f>IF(BH24=0,0,BH19/BH24)</f>
        <v/>
      </c>
      <c r="BI45" s="225">
        <f>IF(BI24=0,0,BI19/BI24)</f>
        <v/>
      </c>
      <c r="BJ45" s="225">
        <f>IF(BJ24=0,0,BJ19/BJ24)</f>
        <v/>
      </c>
      <c r="BL45" s="226">
        <f>IF(N24=0,0,N19/N24)</f>
        <v/>
      </c>
      <c r="BM45" s="226">
        <f>IF(Z24=0,0,Z19/Z24)</f>
        <v/>
      </c>
      <c r="BN45" s="226">
        <f>IF(AL24=0,0,AL19/AL24)</f>
        <v/>
      </c>
      <c r="BO45" s="226">
        <f>IF(AX24=0,0,AX19/AX24)</f>
        <v/>
      </c>
      <c r="BP45" s="226">
        <f>IF(BJ24=0,0,BJ19/BJ24)</f>
        <v/>
      </c>
    </row>
    <row r="46" ht="15" customHeight="1" s="104">
      <c r="A46" s="224" t="inlineStr">
        <is>
          <t>Interest Coverage – LTM (EBITDA / Interest, x)</t>
        </is>
      </c>
      <c r="C46" s="225">
        <f>IF((C20)=0,0,C24/12*1/(C20))</f>
        <v/>
      </c>
      <c r="D46" s="225">
        <f>IF((C20+D20)=0,0,D24/12*2/(C20+D20))</f>
        <v/>
      </c>
      <c r="E46" s="225">
        <f>IF((C20+D20+E20)=0,0,E24/12*3/(C20+D20+E20))</f>
        <v/>
      </c>
      <c r="F46" s="225">
        <f>IF((C20+D20+E20+F20)=0,0,F24/12*4/(C20+D20+E20+F20))</f>
        <v/>
      </c>
      <c r="G46" s="225">
        <f>IF((C20+D20+E20+F20+G20)=0,0,G24/12*5/(C20+D20+E20+F20+G20))</f>
        <v/>
      </c>
      <c r="H46" s="225">
        <f>IF((C20+D20+E20+F20+G20+H20)=0,0,H24/12*6/(C20+D20+E20+F20+G20+H20))</f>
        <v/>
      </c>
      <c r="I46" s="225">
        <f>IF((C20+D20+E20+F20+G20+H20+I20)=0,0,I24/12*7/(C20+D20+E20+F20+G20+H20+I20))</f>
        <v/>
      </c>
      <c r="J46" s="225">
        <f>IF((C20+D20+E20+F20+G20+H20+I20+J20)=0,0,J24/12*8/(C20+D20+E20+F20+G20+H20+I20+J20))</f>
        <v/>
      </c>
      <c r="K46" s="225">
        <f>IF((C20+D20+E20+F20+G20+H20+I20+J20+K20)=0,0,K24/12*9/(C20+D20+E20+F20+G20+H20+I20+J20+K20))</f>
        <v/>
      </c>
      <c r="L46" s="225">
        <f>IF((C20+D20+E20+F20+G20+H20+I20+J20+K20+L20)=0,0,L24/12*10/(C20+D20+E20+F20+G20+H20+I20+J20+K20+L20))</f>
        <v/>
      </c>
      <c r="M46" s="225">
        <f>IF((C20+D20+E20+F20+G20+H20+I20+J20+K20+L20+M20)=0,0,M24/12*11/(C20+D20+E20+F20+G20+H20+I20+J20+K20+L20+M20))</f>
        <v/>
      </c>
      <c r="N46" s="225">
        <f>IF((C20+D20+E20+F20+G20+H20+I20+J20+K20+L20+M20+N20)=0,0,N24/12*12/(C20+D20+E20+F20+G20+H20+I20+J20+K20+L20+M20+N20))</f>
        <v/>
      </c>
      <c r="O46" s="225">
        <f>IF((D20+E20+F20+G20+H20+I20+J20+K20+L20+M20+N20+O20)=0,0,O24/12*12/(D20+E20+F20+G20+H20+I20+J20+K20+L20+M20+N20+O20))</f>
        <v/>
      </c>
      <c r="P46" s="225">
        <f>IF((E20+F20+G20+H20+I20+J20+K20+L20+M20+N20+O20+P20)=0,0,P24/12*12/(E20+F20+G20+H20+I20+J20+K20+L20+M20+N20+O20+P20))</f>
        <v/>
      </c>
      <c r="Q46" s="225">
        <f>IF((F20+G20+H20+I20+J20+K20+L20+M20+N20+O20+P20+Q20)=0,0,Q24/12*12/(F20+G20+H20+I20+J20+K20+L20+M20+N20+O20+P20+Q20))</f>
        <v/>
      </c>
      <c r="R46" s="225">
        <f>IF((G20+H20+I20+J20+K20+L20+M20+N20+O20+P20+Q20+R20)=0,0,R24/12*12/(G20+H20+I20+J20+K20+L20+M20+N20+O20+P20+Q20+R20))</f>
        <v/>
      </c>
      <c r="S46" s="225">
        <f>IF((H20+I20+J20+K20+L20+M20+N20+O20+P20+Q20+R20+S20)=0,0,S24/12*12/(H20+I20+J20+K20+L20+M20+N20+O20+P20+Q20+R20+S20))</f>
        <v/>
      </c>
      <c r="T46" s="225">
        <f>IF((I20+J20+K20+L20+M20+N20+O20+P20+Q20+R20+S20+T20)=0,0,T24/12*12/(I20+J20+K20+L20+M20+N20+O20+P20+Q20+R20+S20+T20))</f>
        <v/>
      </c>
      <c r="U46" s="225">
        <f>IF((J20+K20+L20+M20+N20+O20+P20+Q20+R20+S20+T20+U20)=0,0,U24/12*12/(J20+K20+L20+M20+N20+O20+P20+Q20+R20+S20+T20+U20))</f>
        <v/>
      </c>
      <c r="V46" s="225">
        <f>IF((K20+L20+M20+N20+O20+P20+Q20+R20+S20+T20+U20+V20)=0,0,V24/12*12/(K20+L20+M20+N20+O20+P20+Q20+R20+S20+T20+U20+V20))</f>
        <v/>
      </c>
      <c r="W46" s="225">
        <f>IF((L20+M20+N20+O20+P20+Q20+R20+S20+T20+U20+V20+W20)=0,0,W24/12*12/(L20+M20+N20+O20+P20+Q20+R20+S20+T20+U20+V20+W20))</f>
        <v/>
      </c>
      <c r="X46" s="225">
        <f>IF((M20+N20+O20+P20+Q20+R20+S20+T20+U20+V20+W20+X20)=0,0,X24/12*12/(M20+N20+O20+P20+Q20+R20+S20+T20+U20+V20+W20+X20))</f>
        <v/>
      </c>
      <c r="Y46" s="225">
        <f>IF((N20+O20+P20+Q20+R20+S20+T20+U20+V20+W20+X20+Y20)=0,0,Y24/12*12/(N20+O20+P20+Q20+R20+S20+T20+U20+V20+W20+X20+Y20))</f>
        <v/>
      </c>
      <c r="Z46" s="225">
        <f>IF((O20+P20+Q20+R20+S20+T20+U20+V20+W20+X20+Y20+Z20)=0,0,Z24/12*12/(O20+P20+Q20+R20+S20+T20+U20+V20+W20+X20+Y20+Z20))</f>
        <v/>
      </c>
      <c r="AA46" s="225">
        <f>IF((P20+Q20+R20+S20+T20+U20+V20+W20+X20+Y20+Z20+AA20)=0,0,AA24/12*12/(P20+Q20+R20+S20+T20+U20+V20+W20+X20+Y20+Z20+AA20))</f>
        <v/>
      </c>
      <c r="AB46" s="225">
        <f>IF((Q20+R20+S20+T20+U20+V20+W20+X20+Y20+Z20+AA20+AB20)=0,0,AB24/12*12/(Q20+R20+S20+T20+U20+V20+W20+X20+Y20+Z20+AA20+AB20))</f>
        <v/>
      </c>
      <c r="AC46" s="225">
        <f>IF((R20+S20+T20+U20+V20+W20+X20+Y20+Z20+AA20+AB20+AC20)=0,0,AC24/12*12/(R20+S20+T20+U20+V20+W20+X20+Y20+Z20+AA20+AB20+AC20))</f>
        <v/>
      </c>
      <c r="AD46" s="225">
        <f>IF((S20+T20+U20+V20+W20+X20+Y20+Z20+AA20+AB20+AC20+AD20)=0,0,AD24/12*12/(S20+T20+U20+V20+W20+X20+Y20+Z20+AA20+AB20+AC20+AD20))</f>
        <v/>
      </c>
      <c r="AE46" s="225">
        <f>IF((T20+U20+V20+W20+X20+Y20+Z20+AA20+AB20+AC20+AD20+AE20)=0,0,AE24/12*12/(T20+U20+V20+W20+X20+Y20+Z20+AA20+AB20+AC20+AD20+AE20))</f>
        <v/>
      </c>
      <c r="AF46" s="225">
        <f>IF((U20+V20+W20+X20+Y20+Z20+AA20+AB20+AC20+AD20+AE20+AF20)=0,0,AF24/12*12/(U20+V20+W20+X20+Y20+Z20+AA20+AB20+AC20+AD20+AE20+AF20))</f>
        <v/>
      </c>
      <c r="AG46" s="225">
        <f>IF((V20+W20+X20+Y20+Z20+AA20+AB20+AC20+AD20+AE20+AF20+AG20)=0,0,AG24/12*12/(V20+W20+X20+Y20+Z20+AA20+AB20+AC20+AD20+AE20+AF20+AG20))</f>
        <v/>
      </c>
      <c r="AH46" s="225">
        <f>IF((W20+X20+Y20+Z20+AA20+AB20+AC20+AD20+AE20+AF20+AG20+AH20)=0,0,AH24/12*12/(W20+X20+Y20+Z20+AA20+AB20+AC20+AD20+AE20+AF20+AG20+AH20))</f>
        <v/>
      </c>
      <c r="AI46" s="225">
        <f>IF((X20+Y20+Z20+AA20+AB20+AC20+AD20+AE20+AF20+AG20+AH20+AI20)=0,0,AI24/12*12/(X20+Y20+Z20+AA20+AB20+AC20+AD20+AE20+AF20+AG20+AH20+AI20))</f>
        <v/>
      </c>
      <c r="AJ46" s="225">
        <f>IF((Y20+Z20+AA20+AB20+AC20+AD20+AE20+AF20+AG20+AH20+AI20+AJ20)=0,0,AJ24/12*12/(Y20+Z20+AA20+AB20+AC20+AD20+AE20+AF20+AG20+AH20+AI20+AJ20))</f>
        <v/>
      </c>
      <c r="AK46" s="225">
        <f>IF((Z20+AA20+AB20+AC20+AD20+AE20+AF20+AG20+AH20+AI20+AJ20+AK20)=0,0,AK24/12*12/(Z20+AA20+AB20+AC20+AD20+AE20+AF20+AG20+AH20+AI20+AJ20+AK20))</f>
        <v/>
      </c>
      <c r="AL46" s="225">
        <f>IF((AA20+AB20+AC20+AD20+AE20+AF20+AG20+AH20+AI20+AJ20+AK20+AL20)=0,0,AL24/12*12/(AA20+AB20+AC20+AD20+AE20+AF20+AG20+AH20+AI20+AJ20+AK20+AL20))</f>
        <v/>
      </c>
      <c r="AM46" s="225">
        <f>IF((AB20+AC20+AD20+AE20+AF20+AG20+AH20+AI20+AJ20+AK20+AL20+AM20)=0,0,AM24/12*12/(AB20+AC20+AD20+AE20+AF20+AG20+AH20+AI20+AJ20+AK20+AL20+AM20))</f>
        <v/>
      </c>
      <c r="AN46" s="225">
        <f>IF((AC20+AD20+AE20+AF20+AG20+AH20+AI20+AJ20+AK20+AL20+AM20+AN20)=0,0,AN24/12*12/(AC20+AD20+AE20+AF20+AG20+AH20+AI20+AJ20+AK20+AL20+AM20+AN20))</f>
        <v/>
      </c>
      <c r="AO46" s="225">
        <f>IF((AD20+AE20+AF20+AG20+AH20+AI20+AJ20+AK20+AL20+AM20+AN20+AO20)=0,0,AO24/12*12/(AD20+AE20+AF20+AG20+AH20+AI20+AJ20+AK20+AL20+AM20+AN20+AO20))</f>
        <v/>
      </c>
      <c r="AP46" s="225">
        <f>IF((AE20+AF20+AG20+AH20+AI20+AJ20+AK20+AL20+AM20+AN20+AO20+AP20)=0,0,AP24/12*12/(AE20+AF20+AG20+AH20+AI20+AJ20+AK20+AL20+AM20+AN20+AO20+AP20))</f>
        <v/>
      </c>
      <c r="AQ46" s="225">
        <f>IF((AF20+AG20+AH20+AI20+AJ20+AK20+AL20+AM20+AN20+AO20+AP20+AQ20)=0,0,AQ24/12*12/(AF20+AG20+AH20+AI20+AJ20+AK20+AL20+AM20+AN20+AO20+AP20+AQ20))</f>
        <v/>
      </c>
      <c r="AR46" s="225">
        <f>IF((AG20+AH20+AI20+AJ20+AK20+AL20+AM20+AN20+AO20+AP20+AQ20+AR20)=0,0,AR24/12*12/(AG20+AH20+AI20+AJ20+AK20+AL20+AM20+AN20+AO20+AP20+AQ20+AR20))</f>
        <v/>
      </c>
      <c r="AS46" s="225">
        <f>IF((AH20+AI20+AJ20+AK20+AL20+AM20+AN20+AO20+AP20+AQ20+AR20+AS20)=0,0,AS24/12*12/(AH20+AI20+AJ20+AK20+AL20+AM20+AN20+AO20+AP20+AQ20+AR20+AS20))</f>
        <v/>
      </c>
      <c r="AT46" s="225">
        <f>IF((AI20+AJ20+AK20+AL20+AM20+AN20+AO20+AP20+AQ20+AR20+AS20+AT20)=0,0,AT24/12*12/(AI20+AJ20+AK20+AL20+AM20+AN20+AO20+AP20+AQ20+AR20+AS20+AT20))</f>
        <v/>
      </c>
      <c r="AU46" s="225">
        <f>IF((AJ20+AK20+AL20+AM20+AN20+AO20+AP20+AQ20+AR20+AS20+AT20+AU20)=0,0,AU24/12*12/(AJ20+AK20+AL20+AM20+AN20+AO20+AP20+AQ20+AR20+AS20+AT20+AU20))</f>
        <v/>
      </c>
      <c r="AV46" s="225">
        <f>IF((AK20+AL20+AM20+AN20+AO20+AP20+AQ20+AR20+AS20+AT20+AU20+AV20)=0,0,AV24/12*12/(AK20+AL20+AM20+AN20+AO20+AP20+AQ20+AR20+AS20+AT20+AU20+AV20))</f>
        <v/>
      </c>
      <c r="AW46" s="225">
        <f>IF((AL20+AM20+AN20+AO20+AP20+AQ20+AR20+AS20+AT20+AU20+AV20+AW20)=0,0,AW24/12*12/(AL20+AM20+AN20+AO20+AP20+AQ20+AR20+AS20+AT20+AU20+AV20+AW20))</f>
        <v/>
      </c>
      <c r="AX46" s="225">
        <f>IF((AM20+AN20+AO20+AP20+AQ20+AR20+AS20+AT20+AU20+AV20+AW20+AX20)=0,0,AX24/12*12/(AM20+AN20+AO20+AP20+AQ20+AR20+AS20+AT20+AU20+AV20+AW20+AX20))</f>
        <v/>
      </c>
      <c r="AY46" s="225">
        <f>IF((AN20+AO20+AP20+AQ20+AR20+AS20+AT20+AU20+AV20+AW20+AX20+AY20)=0,0,AY24/12*12/(AN20+AO20+AP20+AQ20+AR20+AS20+AT20+AU20+AV20+AW20+AX20+AY20))</f>
        <v/>
      </c>
      <c r="AZ46" s="225">
        <f>IF((AO20+AP20+AQ20+AR20+AS20+AT20+AU20+AV20+AW20+AX20+AY20+AZ20)=0,0,AZ24/12*12/(AO20+AP20+AQ20+AR20+AS20+AT20+AU20+AV20+AW20+AX20+AY20+AZ20))</f>
        <v/>
      </c>
      <c r="BA46" s="225">
        <f>IF((AP20+AQ20+AR20+AS20+AT20+AU20+AV20+AW20+AX20+AY20+AZ20+BA20)=0,0,BA24/12*12/(AP20+AQ20+AR20+AS20+AT20+AU20+AV20+AW20+AX20+AY20+AZ20+BA20))</f>
        <v/>
      </c>
      <c r="BB46" s="225">
        <f>IF((AQ20+AR20+AS20+AT20+AU20+AV20+AW20+AX20+AY20+AZ20+BA20+BB20)=0,0,BB24/12*12/(AQ20+AR20+AS20+AT20+AU20+AV20+AW20+AX20+AY20+AZ20+BA20+BB20))</f>
        <v/>
      </c>
      <c r="BC46" s="225">
        <f>IF((AR20+AS20+AT20+AU20+AV20+AW20+AX20+AY20+AZ20+BA20+BB20+BC20)=0,0,BC24/12*12/(AR20+AS20+AT20+AU20+AV20+AW20+AX20+AY20+AZ20+BA20+BB20+BC20))</f>
        <v/>
      </c>
      <c r="BD46" s="225">
        <f>IF((AS20+AT20+AU20+AV20+AW20+AX20+AY20+AZ20+BA20+BB20+BC20+BD20)=0,0,BD24/12*12/(AS20+AT20+AU20+AV20+AW20+AX20+AY20+AZ20+BA20+BB20+BC20+BD20))</f>
        <v/>
      </c>
      <c r="BE46" s="225">
        <f>IF((AT20+AU20+AV20+AW20+AX20+AY20+AZ20+BA20+BB20+BC20+BD20+BE20)=0,0,BE24/12*12/(AT20+AU20+AV20+AW20+AX20+AY20+AZ20+BA20+BB20+BC20+BD20+BE20))</f>
        <v/>
      </c>
      <c r="BF46" s="225">
        <f>IF((AU20+AV20+AW20+AX20+AY20+AZ20+BA20+BB20+BC20+BD20+BE20+BF20)=0,0,BF24/12*12/(AU20+AV20+AW20+AX20+AY20+AZ20+BA20+BB20+BC20+BD20+BE20+BF20))</f>
        <v/>
      </c>
      <c r="BG46" s="225">
        <f>IF((AV20+AW20+AX20+AY20+AZ20+BA20+BB20+BC20+BD20+BE20+BF20+BG20)=0,0,BG24/12*12/(AV20+AW20+AX20+AY20+AZ20+BA20+BB20+BC20+BD20+BE20+BF20+BG20))</f>
        <v/>
      </c>
      <c r="BH46" s="225">
        <f>IF((AW20+AX20+AY20+AZ20+BA20+BB20+BC20+BD20+BE20+BF20+BG20+BH20)=0,0,BH24/12*12/(AW20+AX20+AY20+AZ20+BA20+BB20+BC20+BD20+BE20+BF20+BG20+BH20))</f>
        <v/>
      </c>
      <c r="BI46" s="225">
        <f>IF((AX20+AY20+AZ20+BA20+BB20+BC20+BD20+BE20+BF20+BG20+BH20+BI20)=0,0,BI24/12*12/(AX20+AY20+AZ20+BA20+BB20+BC20+BD20+BE20+BF20+BG20+BH20+BI20))</f>
        <v/>
      </c>
      <c r="BJ46" s="225">
        <f>IF((AY20+AZ20+BA20+BB20+BC20+BD20+BE20+BF20+BG20+BH20+BI20+BJ20)=0,0,BJ24/12*12/(AY20+AZ20+BA20+BB20+BC20+BD20+BE20+BF20+BG20+BH20+BI20+BJ20))</f>
        <v/>
      </c>
      <c r="BL46" s="226">
        <f>IF(N24=0,0,N24/(C20+D20+E20+F20+G20+H20+I20+J20+K20+L20+M20+N20))</f>
        <v/>
      </c>
      <c r="BM46" s="226">
        <f>IF(Z24=0,0,Z24/(O20+P20+Q20+R20+S20+T20+U20+V20+W20+X20+Y20+Z20))</f>
        <v/>
      </c>
      <c r="BN46" s="226">
        <f>IF(AL24=0,0,AL24/(AA20+AB20+AC20+AD20+AE20+AF20+AG20+AH20+AI20+AJ20+AK20+AL20))</f>
        <v/>
      </c>
      <c r="BO46" s="226">
        <f>IF(AX24=0,0,AX24/(AM20+AN20+AO20+AP20+AQ20+AR20+AS20+AT20+AU20+AV20+AW20+AX20))</f>
        <v/>
      </c>
      <c r="BP46" s="226">
        <f>IF(BJ24=0,0,BJ24/(AY20+AZ20+BA20+BB20+BC20+BD20+BE20+BF20+BG20+BH20+BI20+BJ20))</f>
        <v/>
      </c>
    </row>
    <row r="48" ht="15" customHeight="1" s="104">
      <c r="A48" s="106" t="inlineStr">
        <is>
          <t>NET DEBT</t>
        </is>
      </c>
    </row>
    <row r="49" ht="15" customHeight="1" s="104">
      <c r="A49" s="107" t="inlineStr">
        <is>
          <t>Cash on Balance Sheet (Ending)</t>
        </is>
      </c>
      <c r="C49" s="156">
        <f>'Cash Flow Statement'!C53</f>
        <v/>
      </c>
      <c r="D49" s="156">
        <f>'Cash Flow Statement'!D53</f>
        <v/>
      </c>
      <c r="E49" s="156">
        <f>'Cash Flow Statement'!E53</f>
        <v/>
      </c>
      <c r="F49" s="156">
        <f>'Cash Flow Statement'!F53</f>
        <v/>
      </c>
      <c r="G49" s="156">
        <f>'Cash Flow Statement'!G53</f>
        <v/>
      </c>
      <c r="H49" s="156">
        <f>'Cash Flow Statement'!H53</f>
        <v/>
      </c>
      <c r="I49" s="156">
        <f>'Cash Flow Statement'!I53</f>
        <v/>
      </c>
      <c r="J49" s="156">
        <f>'Cash Flow Statement'!J53</f>
        <v/>
      </c>
      <c r="K49" s="156">
        <f>'Cash Flow Statement'!K53</f>
        <v/>
      </c>
      <c r="L49" s="156">
        <f>'Cash Flow Statement'!L53</f>
        <v/>
      </c>
      <c r="M49" s="156">
        <f>'Cash Flow Statement'!M53</f>
        <v/>
      </c>
      <c r="N49" s="156">
        <f>'Cash Flow Statement'!N53</f>
        <v/>
      </c>
      <c r="O49" s="156">
        <f>'Cash Flow Statement'!O53</f>
        <v/>
      </c>
      <c r="P49" s="156">
        <f>'Cash Flow Statement'!P53</f>
        <v/>
      </c>
      <c r="Q49" s="156">
        <f>'Cash Flow Statement'!Q53</f>
        <v/>
      </c>
      <c r="R49" s="156">
        <f>'Cash Flow Statement'!R53</f>
        <v/>
      </c>
      <c r="S49" s="156">
        <f>'Cash Flow Statement'!S53</f>
        <v/>
      </c>
      <c r="T49" s="156">
        <f>'Cash Flow Statement'!T53</f>
        <v/>
      </c>
      <c r="U49" s="156">
        <f>'Cash Flow Statement'!U53</f>
        <v/>
      </c>
      <c r="V49" s="156">
        <f>'Cash Flow Statement'!V53</f>
        <v/>
      </c>
      <c r="W49" s="156">
        <f>'Cash Flow Statement'!W53</f>
        <v/>
      </c>
      <c r="X49" s="156">
        <f>'Cash Flow Statement'!X53</f>
        <v/>
      </c>
      <c r="Y49" s="156">
        <f>'Cash Flow Statement'!Y53</f>
        <v/>
      </c>
      <c r="Z49" s="156">
        <f>'Cash Flow Statement'!Z53</f>
        <v/>
      </c>
      <c r="AA49" s="156">
        <f>'Cash Flow Statement'!AA53</f>
        <v/>
      </c>
      <c r="AB49" s="156">
        <f>'Cash Flow Statement'!AB53</f>
        <v/>
      </c>
      <c r="AC49" s="156">
        <f>'Cash Flow Statement'!AC53</f>
        <v/>
      </c>
      <c r="AD49" s="156">
        <f>'Cash Flow Statement'!AD53</f>
        <v/>
      </c>
      <c r="AE49" s="156">
        <f>'Cash Flow Statement'!AE53</f>
        <v/>
      </c>
      <c r="AF49" s="156">
        <f>'Cash Flow Statement'!AF53</f>
        <v/>
      </c>
      <c r="AG49" s="156">
        <f>'Cash Flow Statement'!AG53</f>
        <v/>
      </c>
      <c r="AH49" s="156">
        <f>'Cash Flow Statement'!AH53</f>
        <v/>
      </c>
      <c r="AI49" s="156">
        <f>'Cash Flow Statement'!AI53</f>
        <v/>
      </c>
      <c r="AJ49" s="156">
        <f>'Cash Flow Statement'!AJ53</f>
        <v/>
      </c>
      <c r="AK49" s="156">
        <f>'Cash Flow Statement'!AK53</f>
        <v/>
      </c>
      <c r="AL49" s="156">
        <f>'Cash Flow Statement'!AL53</f>
        <v/>
      </c>
      <c r="AM49" s="156">
        <f>'Cash Flow Statement'!AM53</f>
        <v/>
      </c>
      <c r="AN49" s="156">
        <f>'Cash Flow Statement'!AN53</f>
        <v/>
      </c>
      <c r="AO49" s="156">
        <f>'Cash Flow Statement'!AO53</f>
        <v/>
      </c>
      <c r="AP49" s="156">
        <f>'Cash Flow Statement'!AP53</f>
        <v/>
      </c>
      <c r="AQ49" s="156">
        <f>'Cash Flow Statement'!AQ53</f>
        <v/>
      </c>
      <c r="AR49" s="156">
        <f>'Cash Flow Statement'!AR53</f>
        <v/>
      </c>
      <c r="AS49" s="156">
        <f>'Cash Flow Statement'!AS53</f>
        <v/>
      </c>
      <c r="AT49" s="156">
        <f>'Cash Flow Statement'!AT53</f>
        <v/>
      </c>
      <c r="AU49" s="156">
        <f>'Cash Flow Statement'!AU53</f>
        <v/>
      </c>
      <c r="AV49" s="156">
        <f>'Cash Flow Statement'!AV53</f>
        <v/>
      </c>
      <c r="AW49" s="156">
        <f>'Cash Flow Statement'!AW53</f>
        <v/>
      </c>
      <c r="AX49" s="156">
        <f>'Cash Flow Statement'!AX53</f>
        <v/>
      </c>
      <c r="AY49" s="156">
        <f>'Cash Flow Statement'!AY53</f>
        <v/>
      </c>
      <c r="AZ49" s="156">
        <f>'Cash Flow Statement'!AZ53</f>
        <v/>
      </c>
      <c r="BA49" s="156">
        <f>'Cash Flow Statement'!BA53</f>
        <v/>
      </c>
      <c r="BB49" s="156">
        <f>'Cash Flow Statement'!BB53</f>
        <v/>
      </c>
      <c r="BC49" s="156">
        <f>'Cash Flow Statement'!BC53</f>
        <v/>
      </c>
      <c r="BD49" s="156">
        <f>'Cash Flow Statement'!BD53</f>
        <v/>
      </c>
      <c r="BE49" s="156">
        <f>'Cash Flow Statement'!BE53</f>
        <v/>
      </c>
      <c r="BF49" s="156">
        <f>'Cash Flow Statement'!BF53</f>
        <v/>
      </c>
      <c r="BG49" s="156">
        <f>'Cash Flow Statement'!BG53</f>
        <v/>
      </c>
      <c r="BH49" s="156">
        <f>'Cash Flow Statement'!BH53</f>
        <v/>
      </c>
      <c r="BI49" s="156">
        <f>'Cash Flow Statement'!BI53</f>
        <v/>
      </c>
      <c r="BJ49" s="156">
        <f>'Cash Flow Statement'!BJ53</f>
        <v/>
      </c>
      <c r="BL49" s="157">
        <f>N49</f>
        <v/>
      </c>
      <c r="BM49" s="157">
        <f>Z49</f>
        <v/>
      </c>
      <c r="BN49" s="157">
        <f>AL49</f>
        <v/>
      </c>
      <c r="BO49" s="157">
        <f>AX49</f>
        <v/>
      </c>
      <c r="BP49" s="157">
        <f>BJ49</f>
        <v/>
      </c>
    </row>
    <row r="50" ht="15" customHeight="1" s="104">
      <c r="A50" s="116" t="inlineStr">
        <is>
          <t>Net Debt (Gross Debt - Cash)</t>
        </is>
      </c>
      <c r="C50" s="151">
        <f>C19-C49</f>
        <v/>
      </c>
      <c r="D50" s="151">
        <f>D19-D49</f>
        <v/>
      </c>
      <c r="E50" s="151">
        <f>E19-E49</f>
        <v/>
      </c>
      <c r="F50" s="151">
        <f>F19-F49</f>
        <v/>
      </c>
      <c r="G50" s="151">
        <f>G19-G49</f>
        <v/>
      </c>
      <c r="H50" s="151">
        <f>H19-H49</f>
        <v/>
      </c>
      <c r="I50" s="151">
        <f>I19-I49</f>
        <v/>
      </c>
      <c r="J50" s="151">
        <f>J19-J49</f>
        <v/>
      </c>
      <c r="K50" s="151">
        <f>K19-K49</f>
        <v/>
      </c>
      <c r="L50" s="151">
        <f>L19-L49</f>
        <v/>
      </c>
      <c r="M50" s="151">
        <f>M19-M49</f>
        <v/>
      </c>
      <c r="N50" s="151">
        <f>N19-N49</f>
        <v/>
      </c>
      <c r="O50" s="151">
        <f>O19-O49</f>
        <v/>
      </c>
      <c r="P50" s="151">
        <f>P19-P49</f>
        <v/>
      </c>
      <c r="Q50" s="151">
        <f>Q19-Q49</f>
        <v/>
      </c>
      <c r="R50" s="151">
        <f>R19-R49</f>
        <v/>
      </c>
      <c r="S50" s="151">
        <f>S19-S49</f>
        <v/>
      </c>
      <c r="T50" s="151">
        <f>T19-T49</f>
        <v/>
      </c>
      <c r="U50" s="151">
        <f>U19-U49</f>
        <v/>
      </c>
      <c r="V50" s="151">
        <f>V19-V49</f>
        <v/>
      </c>
      <c r="W50" s="151">
        <f>W19-W49</f>
        <v/>
      </c>
      <c r="X50" s="151">
        <f>X19-X49</f>
        <v/>
      </c>
      <c r="Y50" s="151">
        <f>Y19-Y49</f>
        <v/>
      </c>
      <c r="Z50" s="151">
        <f>Z19-Z49</f>
        <v/>
      </c>
      <c r="AA50" s="151">
        <f>AA19-AA49</f>
        <v/>
      </c>
      <c r="AB50" s="151">
        <f>AB19-AB49</f>
        <v/>
      </c>
      <c r="AC50" s="151">
        <f>AC19-AC49</f>
        <v/>
      </c>
      <c r="AD50" s="151">
        <f>AD19-AD49</f>
        <v/>
      </c>
      <c r="AE50" s="151">
        <f>AE19-AE49</f>
        <v/>
      </c>
      <c r="AF50" s="151">
        <f>AF19-AF49</f>
        <v/>
      </c>
      <c r="AG50" s="151">
        <f>AG19-AG49</f>
        <v/>
      </c>
      <c r="AH50" s="151">
        <f>AH19-AH49</f>
        <v/>
      </c>
      <c r="AI50" s="151">
        <f>AI19-AI49</f>
        <v/>
      </c>
      <c r="AJ50" s="151">
        <f>AJ19-AJ49</f>
        <v/>
      </c>
      <c r="AK50" s="151">
        <f>AK19-AK49</f>
        <v/>
      </c>
      <c r="AL50" s="151">
        <f>AL19-AL49</f>
        <v/>
      </c>
      <c r="AM50" s="151">
        <f>AM19-AM49</f>
        <v/>
      </c>
      <c r="AN50" s="151">
        <f>AN19-AN49</f>
        <v/>
      </c>
      <c r="AO50" s="151">
        <f>AO19-AO49</f>
        <v/>
      </c>
      <c r="AP50" s="151">
        <f>AP19-AP49</f>
        <v/>
      </c>
      <c r="AQ50" s="151">
        <f>AQ19-AQ49</f>
        <v/>
      </c>
      <c r="AR50" s="151">
        <f>AR19-AR49</f>
        <v/>
      </c>
      <c r="AS50" s="151">
        <f>AS19-AS49</f>
        <v/>
      </c>
      <c r="AT50" s="151">
        <f>AT19-AT49</f>
        <v/>
      </c>
      <c r="AU50" s="151">
        <f>AU19-AU49</f>
        <v/>
      </c>
      <c r="AV50" s="151">
        <f>AV19-AV49</f>
        <v/>
      </c>
      <c r="AW50" s="151">
        <f>AW19-AW49</f>
        <v/>
      </c>
      <c r="AX50" s="151">
        <f>AX19-AX49</f>
        <v/>
      </c>
      <c r="AY50" s="151">
        <f>AY19-AY49</f>
        <v/>
      </c>
      <c r="AZ50" s="151">
        <f>AZ19-AZ49</f>
        <v/>
      </c>
      <c r="BA50" s="151">
        <f>BA19-BA49</f>
        <v/>
      </c>
      <c r="BB50" s="151">
        <f>BB19-BB49</f>
        <v/>
      </c>
      <c r="BC50" s="151">
        <f>BC19-BC49</f>
        <v/>
      </c>
      <c r="BD50" s="151">
        <f>BD19-BD49</f>
        <v/>
      </c>
      <c r="BE50" s="151">
        <f>BE19-BE49</f>
        <v/>
      </c>
      <c r="BF50" s="151">
        <f>BF19-BF49</f>
        <v/>
      </c>
      <c r="BG50" s="151">
        <f>BG19-BG49</f>
        <v/>
      </c>
      <c r="BH50" s="151">
        <f>BH19-BH49</f>
        <v/>
      </c>
      <c r="BI50" s="151">
        <f>BI19-BI49</f>
        <v/>
      </c>
      <c r="BJ50" s="151">
        <f>BJ19-BJ49</f>
        <v/>
      </c>
      <c r="BL50" s="152">
        <f>N50</f>
        <v/>
      </c>
      <c r="BM50" s="152">
        <f>Z50</f>
        <v/>
      </c>
      <c r="BN50" s="152">
        <f>AL50</f>
        <v/>
      </c>
      <c r="BO50" s="152">
        <f>AX50</f>
        <v/>
      </c>
      <c r="BP50" s="152">
        <f>BJ50</f>
        <v/>
      </c>
    </row>
    <row r="51" ht="15" customHeight="1" s="104">
      <c r="A51" s="116" t="inlineStr">
        <is>
          <t>Net Debt / Run-Rate EBITDA (x)</t>
        </is>
      </c>
      <c r="C51" s="190">
        <f>IF(C41=0,0,C50/C41)</f>
        <v/>
      </c>
      <c r="D51" s="190">
        <f>IF(D41=0,0,D50/D41)</f>
        <v/>
      </c>
      <c r="E51" s="190">
        <f>IF(E41=0,0,E50/E41)</f>
        <v/>
      </c>
      <c r="F51" s="190">
        <f>IF(F41=0,0,F50/F41)</f>
        <v/>
      </c>
      <c r="G51" s="190">
        <f>IF(G41=0,0,G50/G41)</f>
        <v/>
      </c>
      <c r="H51" s="190">
        <f>IF(H41=0,0,H50/H41)</f>
        <v/>
      </c>
      <c r="I51" s="190">
        <f>IF(I41=0,0,I50/I41)</f>
        <v/>
      </c>
      <c r="J51" s="190">
        <f>IF(J41=0,0,J50/J41)</f>
        <v/>
      </c>
      <c r="K51" s="190">
        <f>IF(K41=0,0,K50/K41)</f>
        <v/>
      </c>
      <c r="L51" s="190">
        <f>IF(L41=0,0,L50/L41)</f>
        <v/>
      </c>
      <c r="M51" s="190">
        <f>IF(M41=0,0,M50/M41)</f>
        <v/>
      </c>
      <c r="N51" s="190">
        <f>IF(N41=0,0,N50/N41)</f>
        <v/>
      </c>
      <c r="O51" s="190">
        <f>IF(O41=0,0,O50/O41)</f>
        <v/>
      </c>
      <c r="P51" s="190">
        <f>IF(P41=0,0,P50/P41)</f>
        <v/>
      </c>
      <c r="Q51" s="190">
        <f>IF(Q41=0,0,Q50/Q41)</f>
        <v/>
      </c>
      <c r="R51" s="190">
        <f>IF(R41=0,0,R50/R41)</f>
        <v/>
      </c>
      <c r="S51" s="190">
        <f>IF(S41=0,0,S50/S41)</f>
        <v/>
      </c>
      <c r="T51" s="190">
        <f>IF(T41=0,0,T50/T41)</f>
        <v/>
      </c>
      <c r="U51" s="190">
        <f>IF(U41=0,0,U50/U41)</f>
        <v/>
      </c>
      <c r="V51" s="190">
        <f>IF(V41=0,0,V50/V41)</f>
        <v/>
      </c>
      <c r="W51" s="190">
        <f>IF(W41=0,0,W50/W41)</f>
        <v/>
      </c>
      <c r="X51" s="190">
        <f>IF(X41=0,0,X50/X41)</f>
        <v/>
      </c>
      <c r="Y51" s="190">
        <f>IF(Y41=0,0,Y50/Y41)</f>
        <v/>
      </c>
      <c r="Z51" s="190">
        <f>IF(Z41=0,0,Z50/Z41)</f>
        <v/>
      </c>
      <c r="AA51" s="190">
        <f>IF(AA41=0,0,AA50/AA41)</f>
        <v/>
      </c>
      <c r="AB51" s="190">
        <f>IF(AB41=0,0,AB50/AB41)</f>
        <v/>
      </c>
      <c r="AC51" s="190">
        <f>IF(AC41=0,0,AC50/AC41)</f>
        <v/>
      </c>
      <c r="AD51" s="190">
        <f>IF(AD41=0,0,AD50/AD41)</f>
        <v/>
      </c>
      <c r="AE51" s="190">
        <f>IF(AE41=0,0,AE50/AE41)</f>
        <v/>
      </c>
      <c r="AF51" s="190">
        <f>IF(AF41=0,0,AF50/AF41)</f>
        <v/>
      </c>
      <c r="AG51" s="190">
        <f>IF(AG41=0,0,AG50/AG41)</f>
        <v/>
      </c>
      <c r="AH51" s="190">
        <f>IF(AH41=0,0,AH50/AH41)</f>
        <v/>
      </c>
      <c r="AI51" s="190">
        <f>IF(AI41=0,0,AI50/AI41)</f>
        <v/>
      </c>
      <c r="AJ51" s="190">
        <f>IF(AJ41=0,0,AJ50/AJ41)</f>
        <v/>
      </c>
      <c r="AK51" s="190">
        <f>IF(AK41=0,0,AK50/AK41)</f>
        <v/>
      </c>
      <c r="AL51" s="190">
        <f>IF(AL41=0,0,AL50/AL41)</f>
        <v/>
      </c>
      <c r="AM51" s="190">
        <f>IF(AM41=0,0,AM50/AM41)</f>
        <v/>
      </c>
      <c r="AN51" s="190">
        <f>IF(AN41=0,0,AN50/AN41)</f>
        <v/>
      </c>
      <c r="AO51" s="190">
        <f>IF(AO41=0,0,AO50/AO41)</f>
        <v/>
      </c>
      <c r="AP51" s="190">
        <f>IF(AP41=0,0,AP50/AP41)</f>
        <v/>
      </c>
      <c r="AQ51" s="190">
        <f>IF(AQ41=0,0,AQ50/AQ41)</f>
        <v/>
      </c>
      <c r="AR51" s="190">
        <f>IF(AR41=0,0,AR50/AR41)</f>
        <v/>
      </c>
      <c r="AS51" s="190">
        <f>IF(AS41=0,0,AS50/AS41)</f>
        <v/>
      </c>
      <c r="AT51" s="190">
        <f>IF(AT41=0,0,AT50/AT41)</f>
        <v/>
      </c>
      <c r="AU51" s="190">
        <f>IF(AU41=0,0,AU50/AU41)</f>
        <v/>
      </c>
      <c r="AV51" s="190">
        <f>IF(AV41=0,0,AV50/AV41)</f>
        <v/>
      </c>
      <c r="AW51" s="190">
        <f>IF(AW41=0,0,AW50/AW41)</f>
        <v/>
      </c>
      <c r="AX51" s="190">
        <f>IF(AX41=0,0,AX50/AX41)</f>
        <v/>
      </c>
      <c r="AY51" s="190">
        <f>IF(AY41=0,0,AY50/AY41)</f>
        <v/>
      </c>
      <c r="AZ51" s="190">
        <f>IF(AZ41=0,0,AZ50/AZ41)</f>
        <v/>
      </c>
      <c r="BA51" s="190">
        <f>IF(BA41=0,0,BA50/BA41)</f>
        <v/>
      </c>
      <c r="BB51" s="190">
        <f>IF(BB41=0,0,BB50/BB41)</f>
        <v/>
      </c>
      <c r="BC51" s="190">
        <f>IF(BC41=0,0,BC50/BC41)</f>
        <v/>
      </c>
      <c r="BD51" s="190">
        <f>IF(BD41=0,0,BD50/BD41)</f>
        <v/>
      </c>
      <c r="BE51" s="190">
        <f>IF(BE41=0,0,BE50/BE41)</f>
        <v/>
      </c>
      <c r="BF51" s="190">
        <f>IF(BF41=0,0,BF50/BF41)</f>
        <v/>
      </c>
      <c r="BG51" s="190">
        <f>IF(BG41=0,0,BG50/BG41)</f>
        <v/>
      </c>
      <c r="BH51" s="190">
        <f>IF(BH41=0,0,BH50/BH41)</f>
        <v/>
      </c>
      <c r="BI51" s="190">
        <f>IF(BI41=0,0,BI50/BI41)</f>
        <v/>
      </c>
      <c r="BJ51" s="190">
        <f>IF(BJ41=0,0,BJ50/BJ41)</f>
        <v/>
      </c>
      <c r="BL51" s="223">
        <f>N51</f>
        <v/>
      </c>
      <c r="BM51" s="223">
        <f>Z51</f>
        <v/>
      </c>
      <c r="BN51" s="223">
        <f>AL51</f>
        <v/>
      </c>
      <c r="BO51" s="223">
        <f>AX51</f>
        <v/>
      </c>
      <c r="BP51" s="223">
        <f>BJ51</f>
        <v/>
      </c>
    </row>
    <row r="53">
      <c r="A53" s="227" t="inlineStr">
        <is>
          <t>EQUITY CAP ANALYSIS</t>
        </is>
      </c>
    </row>
    <row r="54">
      <c r="A54" s="130" t="inlineStr">
        <is>
          <t>Fund Equity Cap: $100mm | Min Cash Reserve: 25% of Consol. EBITDA | Fees funded by sponsor equity</t>
        </is>
      </c>
    </row>
    <row r="56">
      <c r="A56" s="135" t="inlineStr">
        <is>
          <t>Deal</t>
        </is>
      </c>
      <c r="B56" s="135" t="inlineStr">
        <is>
          <t>Close</t>
        </is>
      </c>
      <c r="C56" s="135" t="inlineStr">
        <is>
          <t>TEV</t>
        </is>
      </c>
      <c r="D56" s="135" t="inlineStr">
        <is>
          <t>Fees</t>
        </is>
      </c>
      <c r="E56" s="135" t="inlineStr">
        <is>
          <t>Debt Draw</t>
        </is>
      </c>
      <c r="F56" s="135" t="inlineStr">
        <is>
          <t>Req. Equity</t>
        </is>
      </c>
      <c r="G56" s="135" t="inlineStr">
        <is>
          <t>Cum. Before</t>
        </is>
      </c>
      <c r="H56" s="135" t="inlineStr">
        <is>
          <t>Over Cap</t>
        </is>
      </c>
      <c r="I56" s="135" t="inlineStr">
        <is>
          <t>Avail BS Cash</t>
        </is>
      </c>
      <c r="J56" s="135" t="inlineStr">
        <is>
          <t>New Equity</t>
        </is>
      </c>
      <c r="K56" s="135" t="inlineStr">
        <is>
          <t>Cash from BS</t>
        </is>
      </c>
      <c r="L56" s="135" t="inlineStr">
        <is>
          <t>Cum. After</t>
        </is>
      </c>
      <c r="M56" s="135" t="inlineStr">
        <is>
          <t>Status</t>
        </is>
      </c>
    </row>
    <row r="57">
      <c r="A57" s="128" t="inlineStr">
        <is>
          <t>Platform</t>
        </is>
      </c>
      <c r="B57" t="inlineStr">
        <is>
          <t>Oct-26</t>
        </is>
      </c>
      <c r="C57" s="129" t="n">
        <v>88.2</v>
      </c>
      <c r="D57" s="129" t="n">
        <v>2.646</v>
      </c>
      <c r="E57" s="129" t="n">
        <v>37.8</v>
      </c>
      <c r="F57" s="129" t="n">
        <v>58.04600000000001</v>
      </c>
      <c r="G57" s="129" t="n">
        <v>0</v>
      </c>
      <c r="H57" s="129" t="n">
        <v>0</v>
      </c>
      <c r="I57" t="inlineStr">
        <is>
          <t>-</t>
        </is>
      </c>
      <c r="J57" s="129" t="n">
        <v>58.04600000000001</v>
      </c>
      <c r="K57" s="129" t="n">
        <v>0</v>
      </c>
      <c r="L57" s="129" t="n">
        <v>58.04600000000001</v>
      </c>
      <c r="M57" s="228" t="inlineStr">
        <is>
          <t>New Equity</t>
        </is>
      </c>
    </row>
    <row r="58">
      <c r="A58" s="128" t="inlineStr">
        <is>
          <t>Add-On 1</t>
        </is>
      </c>
      <c r="B58" t="inlineStr">
        <is>
          <t>Jan-27</t>
        </is>
      </c>
      <c r="C58" s="129" t="n">
        <v>15</v>
      </c>
      <c r="D58" s="129" t="n">
        <v>0.3</v>
      </c>
      <c r="E58" s="129" t="n">
        <v>11.5172403093161</v>
      </c>
      <c r="F58" s="129" t="n">
        <v>3.7827596906839</v>
      </c>
      <c r="G58" s="129" t="n">
        <v>58.04600000000001</v>
      </c>
      <c r="H58" s="129" t="n">
        <v>0</v>
      </c>
      <c r="I58" s="129" t="n">
        <v>3.250701322754565</v>
      </c>
      <c r="J58" s="129" t="n">
        <v>3.7827596906839</v>
      </c>
      <c r="K58" s="129" t="n">
        <v>0</v>
      </c>
      <c r="L58" s="129" t="n">
        <v>61.82875969068391</v>
      </c>
      <c r="M58" s="228" t="inlineStr">
        <is>
          <t>New Equity</t>
        </is>
      </c>
    </row>
    <row r="59">
      <c r="A59" s="128" t="inlineStr">
        <is>
          <t>Add-On 2</t>
        </is>
      </c>
      <c r="B59" t="inlineStr">
        <is>
          <t>Apr-27</t>
        </is>
      </c>
      <c r="C59" s="129" t="n">
        <v>17.1</v>
      </c>
      <c r="D59" s="129" t="n">
        <v>0.342</v>
      </c>
      <c r="E59" s="129" t="n">
        <v>7.18483753566851</v>
      </c>
      <c r="F59" s="129" t="n">
        <v>10.25716246433149</v>
      </c>
      <c r="G59" s="129" t="n">
        <v>61.82875969068391</v>
      </c>
      <c r="H59" s="129" t="n">
        <v>0</v>
      </c>
      <c r="I59" s="129" t="n">
        <v>4.339176042149191</v>
      </c>
      <c r="J59" s="129" t="n">
        <v>10.25716246433149</v>
      </c>
      <c r="K59" s="129" t="n">
        <v>0</v>
      </c>
      <c r="L59" s="129" t="n">
        <v>72.0859221550154</v>
      </c>
      <c r="M59" s="228" t="inlineStr">
        <is>
          <t>New Equity</t>
        </is>
      </c>
    </row>
    <row r="60">
      <c r="A60" s="128" t="inlineStr">
        <is>
          <t>Add-On 3</t>
        </is>
      </c>
      <c r="B60" t="inlineStr">
        <is>
          <t>Jul-27</t>
        </is>
      </c>
      <c r="C60" s="129" t="n">
        <v>15.12</v>
      </c>
      <c r="D60" s="129" t="n">
        <v>0.3024</v>
      </c>
      <c r="E60" s="129" t="n">
        <v>1.38558845151758</v>
      </c>
      <c r="F60" s="129" t="n">
        <v>14.03681154848242</v>
      </c>
      <c r="G60" s="129" t="n">
        <v>72.0859221550154</v>
      </c>
      <c r="H60" s="129" t="n">
        <v>0</v>
      </c>
      <c r="I60" s="129" t="n">
        <v>5.864671890756456</v>
      </c>
      <c r="J60" s="129" t="n">
        <v>14.03681154848242</v>
      </c>
      <c r="K60" s="129" t="n">
        <v>0</v>
      </c>
      <c r="L60" s="129" t="n">
        <v>86.12273370349781</v>
      </c>
      <c r="M60" s="228" t="inlineStr">
        <is>
          <t>New Equity</t>
        </is>
      </c>
    </row>
    <row r="61">
      <c r="A61" s="128" t="inlineStr">
        <is>
          <t>Add-On 4</t>
        </is>
      </c>
      <c r="B61" t="inlineStr">
        <is>
          <t>Jan-28</t>
        </is>
      </c>
      <c r="C61" s="129" t="n">
        <v>38.5</v>
      </c>
      <c r="D61" s="129" t="n">
        <v>0.77</v>
      </c>
      <c r="E61" s="129" t="n">
        <v>23.7158873606795</v>
      </c>
      <c r="F61" s="129" t="n">
        <v>15.5541126393205</v>
      </c>
      <c r="G61" s="129" t="n">
        <v>86.12273370349781</v>
      </c>
      <c r="H61" s="129" t="n">
        <v>1.676846342818322</v>
      </c>
      <c r="I61" s="129" t="n">
        <v>9.802337205842626</v>
      </c>
      <c r="J61" s="129" t="n">
        <v>13.87726629650219</v>
      </c>
      <c r="K61" s="129" t="n">
        <v>1.676846342818319</v>
      </c>
      <c r="L61" s="129" t="n">
        <v>100</v>
      </c>
      <c r="M61" s="229" t="inlineStr">
        <is>
          <t>Equity + BS Cash</t>
        </is>
      </c>
    </row>
    <row r="62">
      <c r="A62" s="128" t="inlineStr">
        <is>
          <t>Add-On 5</t>
        </is>
      </c>
      <c r="B62" t="inlineStr">
        <is>
          <t>Apr-28</t>
        </is>
      </c>
      <c r="C62" s="129" t="n">
        <v>12.6</v>
      </c>
      <c r="D62" s="129" t="n">
        <v>0.252</v>
      </c>
      <c r="E62" s="129" t="n">
        <v>4.82923024073958</v>
      </c>
      <c r="F62" s="129" t="n">
        <v>8.02276975926042</v>
      </c>
      <c r="G62" s="129" t="n">
        <v>100</v>
      </c>
      <c r="H62" s="129" t="n">
        <v>8.022769759260427</v>
      </c>
      <c r="I62" s="129" t="n">
        <v>9.918696156986254</v>
      </c>
      <c r="J62" s="129" t="n">
        <v>0</v>
      </c>
      <c r="K62" s="129" t="n">
        <v>8.02276975926042</v>
      </c>
      <c r="L62" s="129" t="n">
        <v>100</v>
      </c>
      <c r="M62" s="229" t="inlineStr">
        <is>
          <t>BS Cash</t>
        </is>
      </c>
    </row>
    <row r="63">
      <c r="A63" s="128" t="inlineStr">
        <is>
          <t>Add-On 6</t>
        </is>
      </c>
      <c r="B63" t="inlineStr">
        <is>
          <t>Oct-28</t>
        </is>
      </c>
      <c r="C63" s="129" t="n">
        <v>20.79</v>
      </c>
      <c r="D63" s="129" t="n">
        <v>0.4158</v>
      </c>
      <c r="E63" s="129" t="n">
        <v>20.79</v>
      </c>
      <c r="F63" s="129" t="n">
        <v>0.4158000000000008</v>
      </c>
      <c r="G63" s="129" t="n">
        <v>100</v>
      </c>
      <c r="H63" s="129" t="n">
        <v>0.4158000000000044</v>
      </c>
      <c r="I63" s="129" t="n">
        <v>7.773052910013485</v>
      </c>
      <c r="J63" s="129" t="n">
        <v>0</v>
      </c>
      <c r="K63" s="129" t="n">
        <v>0.4158000000000008</v>
      </c>
      <c r="L63" s="129" t="n">
        <v>100</v>
      </c>
      <c r="M63" s="229" t="inlineStr">
        <is>
          <t>BS Cash</t>
        </is>
      </c>
    </row>
    <row r="64">
      <c r="A64" s="145" t="inlineStr">
        <is>
          <t>Add-On 7</t>
        </is>
      </c>
      <c r="B64" t="inlineStr">
        <is>
          <t>Jan-29</t>
        </is>
      </c>
      <c r="C64" s="129" t="n">
        <v>33</v>
      </c>
      <c r="D64" s="129" t="n">
        <v>0.66</v>
      </c>
      <c r="E64" s="129" t="n">
        <v>0</v>
      </c>
      <c r="F64" s="129" t="n">
        <v>12.0861170053687</v>
      </c>
      <c r="G64" s="129" t="n">
        <v>100</v>
      </c>
      <c r="H64" s="129" t="n">
        <v>12.08611700536869</v>
      </c>
      <c r="I64" s="129" t="n">
        <v>10.60695661268528</v>
      </c>
      <c r="J64" s="129" t="n">
        <v>0</v>
      </c>
      <c r="K64" s="129" t="n">
        <v>0</v>
      </c>
      <c r="L64" s="129" t="n">
        <v>100</v>
      </c>
      <c r="M64" s="145" t="inlineStr">
        <is>
          <t>TURNED OFF</t>
        </is>
      </c>
    </row>
    <row r="65">
      <c r="A65" s="128" t="inlineStr">
        <is>
          <t>Add-On 8</t>
        </is>
      </c>
      <c r="B65" t="inlineStr">
        <is>
          <t>Apr-29</t>
        </is>
      </c>
      <c r="C65" s="129" t="n">
        <v>15.96</v>
      </c>
      <c r="D65" s="129" t="n">
        <v>0.3192</v>
      </c>
      <c r="E65" s="129" t="n">
        <v>5.42867566943596</v>
      </c>
      <c r="F65" s="129" t="n">
        <v>10.85052433056404</v>
      </c>
      <c r="G65" s="129" t="n">
        <v>100</v>
      </c>
      <c r="H65" s="129" t="n">
        <v>10.85052433056404</v>
      </c>
      <c r="I65" s="129" t="n">
        <v>14.35108296785148</v>
      </c>
      <c r="J65" s="129" t="n">
        <v>0</v>
      </c>
      <c r="K65" s="129" t="n">
        <v>10.85052433056404</v>
      </c>
      <c r="L65" s="129" t="n">
        <v>100</v>
      </c>
      <c r="M65" s="229" t="inlineStr">
        <is>
          <t>BS Cash</t>
        </is>
      </c>
    </row>
    <row r="66">
      <c r="A66" s="128" t="inlineStr">
        <is>
          <t>Add-On 9</t>
        </is>
      </c>
      <c r="B66" t="inlineStr">
        <is>
          <t>Oct-29</t>
        </is>
      </c>
      <c r="C66" s="129" t="n">
        <v>17.85</v>
      </c>
      <c r="D66" s="129" t="n">
        <v>0.357</v>
      </c>
      <c r="E66" s="129" t="n">
        <v>17.85</v>
      </c>
      <c r="F66" s="129" t="n">
        <v>0.3569999999999993</v>
      </c>
      <c r="G66" s="129" t="n">
        <v>100</v>
      </c>
      <c r="H66" s="129" t="n">
        <v>0.3569999999999993</v>
      </c>
      <c r="I66" s="129" t="n">
        <v>12.88072118993187</v>
      </c>
      <c r="J66" s="129" t="n">
        <v>0</v>
      </c>
      <c r="K66" s="129" t="n">
        <v>0.3569999999999993</v>
      </c>
      <c r="L66" s="129" t="n">
        <v>100</v>
      </c>
      <c r="M66" s="229" t="inlineStr">
        <is>
          <t>BS Cash</t>
        </is>
      </c>
    </row>
    <row r="67">
      <c r="A67" s="128" t="inlineStr">
        <is>
          <t>Add-On 10</t>
        </is>
      </c>
      <c r="B67" t="inlineStr">
        <is>
          <t>Jan-30</t>
        </is>
      </c>
      <c r="C67" s="129" t="n">
        <v>24</v>
      </c>
      <c r="D67" s="129" t="n">
        <v>0.48</v>
      </c>
      <c r="E67" s="129" t="n">
        <v>24</v>
      </c>
      <c r="F67" s="129" t="n">
        <v>0.4800000000000004</v>
      </c>
      <c r="G67" s="129" t="n">
        <v>100</v>
      </c>
      <c r="H67" s="129" t="n">
        <v>0.480000000000004</v>
      </c>
      <c r="I67" s="129" t="n">
        <v>18.2585059833994</v>
      </c>
      <c r="J67" s="129" t="n">
        <v>0</v>
      </c>
      <c r="K67" s="129" t="n">
        <v>0.4800000000000004</v>
      </c>
      <c r="L67" s="129" t="n">
        <v>100</v>
      </c>
      <c r="M67" s="229" t="inlineStr">
        <is>
          <t>BS Cash</t>
        </is>
      </c>
    </row>
    <row r="69">
      <c r="A69" s="128" t="inlineStr">
        <is>
          <t>TOTAL</t>
        </is>
      </c>
      <c r="C69" s="230" t="n">
        <v>265.12</v>
      </c>
      <c r="D69" s="230" t="n">
        <v>6.1844</v>
      </c>
      <c r="E69" s="230" t="n">
        <v>154.5014595673572</v>
      </c>
      <c r="J69" s="230" t="n">
        <v>100</v>
      </c>
      <c r="K69" s="230" t="n">
        <v>21.80294043264278</v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1.xml><?xml version="1.0" encoding="utf-8"?>
<worksheet xmlns="http://schemas.openxmlformats.org/spreadsheetml/2006/main">
  <sheetPr filterMode="0">
    <tabColor rgb="FF7030A0"/>
    <outlinePr summaryBelow="1" summaryRight="1"/>
    <pageSetUpPr fitToPage="0"/>
  </sheetPr>
  <dimension ref="A1:BP2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baseColWidth="8" defaultColWidth="8.71484375" defaultRowHeight="15" zeroHeight="0" outlineLevelRow="0"/>
  <cols>
    <col width="38" customWidth="1" style="103" min="1" max="1"/>
    <col width="9" customWidth="1" style="103" min="3" max="62"/>
    <col width="11" customWidth="1" style="103" min="64" max="68"/>
  </cols>
  <sheetData>
    <row r="1" ht="19.5" customHeight="1" s="104">
      <c r="A1" s="105" t="inlineStr">
        <is>
          <t>Working Capital – Monthly ($mm)</t>
        </is>
      </c>
    </row>
    <row r="3" ht="15" customHeight="1" s="104">
      <c r="A3" s="116" t="inlineStr">
        <is>
          <t>($mm)</t>
        </is>
      </c>
      <c r="C3" s="149" t="inlineStr">
        <is>
          <t>Oct-26</t>
        </is>
      </c>
      <c r="D3" s="149" t="inlineStr">
        <is>
          <t>Nov-26</t>
        </is>
      </c>
      <c r="E3" s="149" t="inlineStr">
        <is>
          <t>Dec-26</t>
        </is>
      </c>
      <c r="F3" s="149" t="inlineStr">
        <is>
          <t>Jan-27</t>
        </is>
      </c>
      <c r="G3" s="149" t="inlineStr">
        <is>
          <t>Feb-27</t>
        </is>
      </c>
      <c r="H3" s="149" t="inlineStr">
        <is>
          <t>Mar-27</t>
        </is>
      </c>
      <c r="I3" s="149" t="inlineStr">
        <is>
          <t>Apr-27</t>
        </is>
      </c>
      <c r="J3" s="149" t="inlineStr">
        <is>
          <t>May-27</t>
        </is>
      </c>
      <c r="K3" s="149" t="inlineStr">
        <is>
          <t>Jun-27</t>
        </is>
      </c>
      <c r="L3" s="149" t="inlineStr">
        <is>
          <t>Jul-27</t>
        </is>
      </c>
      <c r="M3" s="149" t="inlineStr">
        <is>
          <t>Aug-27</t>
        </is>
      </c>
      <c r="N3" s="149" t="inlineStr">
        <is>
          <t>Sep-27</t>
        </is>
      </c>
      <c r="O3" s="149" t="inlineStr">
        <is>
          <t>Oct-27</t>
        </is>
      </c>
      <c r="P3" s="149" t="inlineStr">
        <is>
          <t>Nov-27</t>
        </is>
      </c>
      <c r="Q3" s="149" t="inlineStr">
        <is>
          <t>Dec-27</t>
        </is>
      </c>
      <c r="R3" s="149" t="inlineStr">
        <is>
          <t>Jan-28</t>
        </is>
      </c>
      <c r="S3" s="149" t="inlineStr">
        <is>
          <t>Feb-28</t>
        </is>
      </c>
      <c r="T3" s="149" t="inlineStr">
        <is>
          <t>Mar-28</t>
        </is>
      </c>
      <c r="U3" s="149" t="inlineStr">
        <is>
          <t>Apr-28</t>
        </is>
      </c>
      <c r="V3" s="149" t="inlineStr">
        <is>
          <t>May-28</t>
        </is>
      </c>
      <c r="W3" s="149" t="inlineStr">
        <is>
          <t>Jun-28</t>
        </is>
      </c>
      <c r="X3" s="149" t="inlineStr">
        <is>
          <t>Jul-28</t>
        </is>
      </c>
      <c r="Y3" s="149" t="inlineStr">
        <is>
          <t>Aug-28</t>
        </is>
      </c>
      <c r="Z3" s="149" t="inlineStr">
        <is>
          <t>Sep-28</t>
        </is>
      </c>
      <c r="AA3" s="149" t="inlineStr">
        <is>
          <t>Oct-28</t>
        </is>
      </c>
      <c r="AB3" s="149" t="inlineStr">
        <is>
          <t>Nov-28</t>
        </is>
      </c>
      <c r="AC3" s="149" t="inlineStr">
        <is>
          <t>Dec-28</t>
        </is>
      </c>
      <c r="AD3" s="149" t="inlineStr">
        <is>
          <t>Jan-29</t>
        </is>
      </c>
      <c r="AE3" s="149" t="inlineStr">
        <is>
          <t>Feb-29</t>
        </is>
      </c>
      <c r="AF3" s="149" t="inlineStr">
        <is>
          <t>Mar-29</t>
        </is>
      </c>
      <c r="AG3" s="149" t="inlineStr">
        <is>
          <t>Apr-29</t>
        </is>
      </c>
      <c r="AH3" s="149" t="inlineStr">
        <is>
          <t>May-29</t>
        </is>
      </c>
      <c r="AI3" s="149" t="inlineStr">
        <is>
          <t>Jun-29</t>
        </is>
      </c>
      <c r="AJ3" s="149" t="inlineStr">
        <is>
          <t>Jul-29</t>
        </is>
      </c>
      <c r="AK3" s="149" t="inlineStr">
        <is>
          <t>Aug-29</t>
        </is>
      </c>
      <c r="AL3" s="149" t="inlineStr">
        <is>
          <t>Sep-29</t>
        </is>
      </c>
      <c r="AM3" s="149" t="inlineStr">
        <is>
          <t>Oct-29</t>
        </is>
      </c>
      <c r="AN3" s="149" t="inlineStr">
        <is>
          <t>Nov-29</t>
        </is>
      </c>
      <c r="AO3" s="149" t="inlineStr">
        <is>
          <t>Dec-29</t>
        </is>
      </c>
      <c r="AP3" s="149" t="inlineStr">
        <is>
          <t>Jan-30</t>
        </is>
      </c>
      <c r="AQ3" s="149" t="inlineStr">
        <is>
          <t>Feb-30</t>
        </is>
      </c>
      <c r="AR3" s="149" t="inlineStr">
        <is>
          <t>Mar-30</t>
        </is>
      </c>
      <c r="AS3" s="149" t="inlineStr">
        <is>
          <t>Apr-30</t>
        </is>
      </c>
      <c r="AT3" s="149" t="inlineStr">
        <is>
          <t>May-30</t>
        </is>
      </c>
      <c r="AU3" s="149" t="inlineStr">
        <is>
          <t>Jun-30</t>
        </is>
      </c>
      <c r="AV3" s="149" t="inlineStr">
        <is>
          <t>Jul-30</t>
        </is>
      </c>
      <c r="AW3" s="149" t="inlineStr">
        <is>
          <t>Aug-30</t>
        </is>
      </c>
      <c r="AX3" s="149" t="inlineStr">
        <is>
          <t>Sep-30</t>
        </is>
      </c>
      <c r="AY3" s="149" t="inlineStr">
        <is>
          <t>Oct-30</t>
        </is>
      </c>
      <c r="AZ3" s="149" t="inlineStr">
        <is>
          <t>Nov-30</t>
        </is>
      </c>
      <c r="BA3" s="149" t="inlineStr">
        <is>
          <t>Dec-30</t>
        </is>
      </c>
      <c r="BB3" s="149" t="inlineStr">
        <is>
          <t>Jan-31</t>
        </is>
      </c>
      <c r="BC3" s="149" t="inlineStr">
        <is>
          <t>Feb-31</t>
        </is>
      </c>
      <c r="BD3" s="149" t="inlineStr">
        <is>
          <t>Mar-31</t>
        </is>
      </c>
      <c r="BE3" s="149" t="inlineStr">
        <is>
          <t>Apr-31</t>
        </is>
      </c>
      <c r="BF3" s="149" t="inlineStr">
        <is>
          <t>May-31</t>
        </is>
      </c>
      <c r="BG3" s="149" t="inlineStr">
        <is>
          <t>Jun-31</t>
        </is>
      </c>
      <c r="BH3" s="149" t="inlineStr">
        <is>
          <t>Jul-31</t>
        </is>
      </c>
      <c r="BI3" s="149" t="inlineStr">
        <is>
          <t>Aug-31</t>
        </is>
      </c>
      <c r="BJ3" s="149" t="inlineStr">
        <is>
          <t>Sep-31</t>
        </is>
      </c>
      <c r="BL3" s="150" t="inlineStr">
        <is>
          <t>FY1</t>
        </is>
      </c>
      <c r="BM3" s="150" t="inlineStr">
        <is>
          <t>FY2</t>
        </is>
      </c>
      <c r="BN3" s="150" t="inlineStr">
        <is>
          <t>FY3</t>
        </is>
      </c>
      <c r="BO3" s="150" t="inlineStr">
        <is>
          <t>FY4</t>
        </is>
      </c>
      <c r="BP3" s="150" t="inlineStr">
        <is>
          <t>FY5</t>
        </is>
      </c>
    </row>
    <row r="5" ht="15" customHeight="1" s="104">
      <c r="A5" s="106" t="inlineStr">
        <is>
          <t>CURRENT ASSETS</t>
        </is>
      </c>
    </row>
    <row r="6" ht="15" customHeight="1" s="104">
      <c r="A6" s="107" t="inlineStr">
        <is>
          <t>Accounts Receivable</t>
        </is>
      </c>
      <c r="C6" s="156">
        <f>'Consolidated P&amp;L'!C6*Assumptions!B43/30</f>
        <v/>
      </c>
      <c r="D6" s="156">
        <f>'Consolidated P&amp;L'!D6*Assumptions!B43/30</f>
        <v/>
      </c>
      <c r="E6" s="156">
        <f>'Consolidated P&amp;L'!E6*Assumptions!B43/30</f>
        <v/>
      </c>
      <c r="F6" s="156">
        <f>'Consolidated P&amp;L'!F6*Assumptions!B43/30</f>
        <v/>
      </c>
      <c r="G6" s="156">
        <f>'Consolidated P&amp;L'!G6*Assumptions!B43/30</f>
        <v/>
      </c>
      <c r="H6" s="156">
        <f>'Consolidated P&amp;L'!H6*Assumptions!B43/30</f>
        <v/>
      </c>
      <c r="I6" s="156">
        <f>'Consolidated P&amp;L'!I6*Assumptions!B43/30</f>
        <v/>
      </c>
      <c r="J6" s="156">
        <f>'Consolidated P&amp;L'!J6*Assumptions!B43/30</f>
        <v/>
      </c>
      <c r="K6" s="156">
        <f>'Consolidated P&amp;L'!K6*Assumptions!B43/30</f>
        <v/>
      </c>
      <c r="L6" s="156">
        <f>'Consolidated P&amp;L'!L6*Assumptions!B43/30</f>
        <v/>
      </c>
      <c r="M6" s="156">
        <f>'Consolidated P&amp;L'!M6*Assumptions!B43/30</f>
        <v/>
      </c>
      <c r="N6" s="156">
        <f>'Consolidated P&amp;L'!N6*Assumptions!B43/30</f>
        <v/>
      </c>
      <c r="O6" s="156">
        <f>'Consolidated P&amp;L'!O6*Assumptions!B43/30</f>
        <v/>
      </c>
      <c r="P6" s="156">
        <f>'Consolidated P&amp;L'!P6*Assumptions!B43/30</f>
        <v/>
      </c>
      <c r="Q6" s="156">
        <f>'Consolidated P&amp;L'!Q6*Assumptions!B43/30</f>
        <v/>
      </c>
      <c r="R6" s="156">
        <f>'Consolidated P&amp;L'!R6*Assumptions!B43/30</f>
        <v/>
      </c>
      <c r="S6" s="156">
        <f>'Consolidated P&amp;L'!S6*Assumptions!B43/30</f>
        <v/>
      </c>
      <c r="T6" s="156">
        <f>'Consolidated P&amp;L'!T6*Assumptions!B43/30</f>
        <v/>
      </c>
      <c r="U6" s="156">
        <f>'Consolidated P&amp;L'!U6*Assumptions!B43/30</f>
        <v/>
      </c>
      <c r="V6" s="156">
        <f>'Consolidated P&amp;L'!V6*Assumptions!B43/30</f>
        <v/>
      </c>
      <c r="W6" s="156">
        <f>'Consolidated P&amp;L'!W6*Assumptions!B43/30</f>
        <v/>
      </c>
      <c r="X6" s="156">
        <f>'Consolidated P&amp;L'!X6*Assumptions!B43/30</f>
        <v/>
      </c>
      <c r="Y6" s="156">
        <f>'Consolidated P&amp;L'!Y6*Assumptions!B43/30</f>
        <v/>
      </c>
      <c r="Z6" s="156">
        <f>'Consolidated P&amp;L'!Z6*Assumptions!B43/30</f>
        <v/>
      </c>
      <c r="AA6" s="156">
        <f>'Consolidated P&amp;L'!AA6*Assumptions!B43/30</f>
        <v/>
      </c>
      <c r="AB6" s="156">
        <f>'Consolidated P&amp;L'!AB6*Assumptions!B43/30</f>
        <v/>
      </c>
      <c r="AC6" s="156">
        <f>'Consolidated P&amp;L'!AC6*Assumptions!B43/30</f>
        <v/>
      </c>
      <c r="AD6" s="156">
        <f>'Consolidated P&amp;L'!AD6*Assumptions!B43/30</f>
        <v/>
      </c>
      <c r="AE6" s="156">
        <f>'Consolidated P&amp;L'!AE6*Assumptions!B43/30</f>
        <v/>
      </c>
      <c r="AF6" s="156">
        <f>'Consolidated P&amp;L'!AF6*Assumptions!B43/30</f>
        <v/>
      </c>
      <c r="AG6" s="156">
        <f>'Consolidated P&amp;L'!AG6*Assumptions!B43/30</f>
        <v/>
      </c>
      <c r="AH6" s="156">
        <f>'Consolidated P&amp;L'!AH6*Assumptions!B43/30</f>
        <v/>
      </c>
      <c r="AI6" s="156">
        <f>'Consolidated P&amp;L'!AI6*Assumptions!B43/30</f>
        <v/>
      </c>
      <c r="AJ6" s="156">
        <f>'Consolidated P&amp;L'!AJ6*Assumptions!B43/30</f>
        <v/>
      </c>
      <c r="AK6" s="156">
        <f>'Consolidated P&amp;L'!AK6*Assumptions!B43/30</f>
        <v/>
      </c>
      <c r="AL6" s="156">
        <f>'Consolidated P&amp;L'!AL6*Assumptions!B43/30</f>
        <v/>
      </c>
      <c r="AM6" s="156">
        <f>'Consolidated P&amp;L'!AM6*Assumptions!B43/30</f>
        <v/>
      </c>
      <c r="AN6" s="156">
        <f>'Consolidated P&amp;L'!AN6*Assumptions!B43/30</f>
        <v/>
      </c>
      <c r="AO6" s="156">
        <f>'Consolidated P&amp;L'!AO6*Assumptions!B43/30</f>
        <v/>
      </c>
      <c r="AP6" s="156">
        <f>'Consolidated P&amp;L'!AP6*Assumptions!B43/30</f>
        <v/>
      </c>
      <c r="AQ6" s="156">
        <f>'Consolidated P&amp;L'!AQ6*Assumptions!B43/30</f>
        <v/>
      </c>
      <c r="AR6" s="156">
        <f>'Consolidated P&amp;L'!AR6*Assumptions!B43/30</f>
        <v/>
      </c>
      <c r="AS6" s="156">
        <f>'Consolidated P&amp;L'!AS6*Assumptions!B43/30</f>
        <v/>
      </c>
      <c r="AT6" s="156">
        <f>'Consolidated P&amp;L'!AT6*Assumptions!B43/30</f>
        <v/>
      </c>
      <c r="AU6" s="156">
        <f>'Consolidated P&amp;L'!AU6*Assumptions!B43/30</f>
        <v/>
      </c>
      <c r="AV6" s="156">
        <f>'Consolidated P&amp;L'!AV6*Assumptions!B43/30</f>
        <v/>
      </c>
      <c r="AW6" s="156">
        <f>'Consolidated P&amp;L'!AW6*Assumptions!B43/30</f>
        <v/>
      </c>
      <c r="AX6" s="156">
        <f>'Consolidated P&amp;L'!AX6*Assumptions!B43/30</f>
        <v/>
      </c>
      <c r="AY6" s="156">
        <f>'Consolidated P&amp;L'!AY6*Assumptions!B43/30</f>
        <v/>
      </c>
      <c r="AZ6" s="156">
        <f>'Consolidated P&amp;L'!AZ6*Assumptions!B43/30</f>
        <v/>
      </c>
      <c r="BA6" s="156">
        <f>'Consolidated P&amp;L'!BA6*Assumptions!B43/30</f>
        <v/>
      </c>
      <c r="BB6" s="156">
        <f>'Consolidated P&amp;L'!BB6*Assumptions!B43/30</f>
        <v/>
      </c>
      <c r="BC6" s="156">
        <f>'Consolidated P&amp;L'!BC6*Assumptions!B43/30</f>
        <v/>
      </c>
      <c r="BD6" s="156">
        <f>'Consolidated P&amp;L'!BD6*Assumptions!B43/30</f>
        <v/>
      </c>
      <c r="BE6" s="156">
        <f>'Consolidated P&amp;L'!BE6*Assumptions!B43/30</f>
        <v/>
      </c>
      <c r="BF6" s="156">
        <f>'Consolidated P&amp;L'!BF6*Assumptions!B43/30</f>
        <v/>
      </c>
      <c r="BG6" s="156">
        <f>'Consolidated P&amp;L'!BG6*Assumptions!B43/30</f>
        <v/>
      </c>
      <c r="BH6" s="156">
        <f>'Consolidated P&amp;L'!BH6*Assumptions!B43/30</f>
        <v/>
      </c>
      <c r="BI6" s="156">
        <f>'Consolidated P&amp;L'!BI6*Assumptions!B43/30</f>
        <v/>
      </c>
      <c r="BJ6" s="156">
        <f>'Consolidated P&amp;L'!BJ6*Assumptions!B43/30</f>
        <v/>
      </c>
      <c r="BL6" s="157">
        <f>N6</f>
        <v/>
      </c>
      <c r="BM6" s="157">
        <f>Z6</f>
        <v/>
      </c>
      <c r="BN6" s="157">
        <f>AL6</f>
        <v/>
      </c>
      <c r="BO6" s="157">
        <f>AX6</f>
        <v/>
      </c>
      <c r="BP6" s="157">
        <f>BJ6</f>
        <v/>
      </c>
    </row>
    <row r="7" ht="15" customHeight="1" s="104">
      <c r="A7" s="231" t="inlineStr">
        <is>
          <t xml:space="preserve">    DSO (days)</t>
        </is>
      </c>
      <c r="C7" s="232">
        <f>IF('Consolidated P&amp;L'!C6=0,0,C6/'Consolidated P&amp;L'!C6*30)</f>
        <v/>
      </c>
      <c r="D7" s="232">
        <f>IF('Consolidated P&amp;L'!D6=0,0,D6/'Consolidated P&amp;L'!D6*30)</f>
        <v/>
      </c>
      <c r="E7" s="232">
        <f>IF('Consolidated P&amp;L'!E6=0,0,E6/'Consolidated P&amp;L'!E6*30)</f>
        <v/>
      </c>
      <c r="F7" s="232">
        <f>IF('Consolidated P&amp;L'!F6=0,0,F6/'Consolidated P&amp;L'!F6*30)</f>
        <v/>
      </c>
      <c r="G7" s="232">
        <f>IF('Consolidated P&amp;L'!G6=0,0,G6/'Consolidated P&amp;L'!G6*30)</f>
        <v/>
      </c>
      <c r="H7" s="232">
        <f>IF('Consolidated P&amp;L'!H6=0,0,H6/'Consolidated P&amp;L'!H6*30)</f>
        <v/>
      </c>
      <c r="I7" s="232">
        <f>IF('Consolidated P&amp;L'!I6=0,0,I6/'Consolidated P&amp;L'!I6*30)</f>
        <v/>
      </c>
      <c r="J7" s="232">
        <f>IF('Consolidated P&amp;L'!J6=0,0,J6/'Consolidated P&amp;L'!J6*30)</f>
        <v/>
      </c>
      <c r="K7" s="232">
        <f>IF('Consolidated P&amp;L'!K6=0,0,K6/'Consolidated P&amp;L'!K6*30)</f>
        <v/>
      </c>
      <c r="L7" s="232">
        <f>IF('Consolidated P&amp;L'!L6=0,0,L6/'Consolidated P&amp;L'!L6*30)</f>
        <v/>
      </c>
      <c r="M7" s="232">
        <f>IF('Consolidated P&amp;L'!M6=0,0,M6/'Consolidated P&amp;L'!M6*30)</f>
        <v/>
      </c>
      <c r="N7" s="232">
        <f>IF('Consolidated P&amp;L'!N6=0,0,N6/'Consolidated P&amp;L'!N6*30)</f>
        <v/>
      </c>
      <c r="O7" s="232">
        <f>IF('Consolidated P&amp;L'!O6=0,0,O6/'Consolidated P&amp;L'!O6*30)</f>
        <v/>
      </c>
      <c r="P7" s="232">
        <f>IF('Consolidated P&amp;L'!P6=0,0,P6/'Consolidated P&amp;L'!P6*30)</f>
        <v/>
      </c>
      <c r="Q7" s="232">
        <f>IF('Consolidated P&amp;L'!Q6=0,0,Q6/'Consolidated P&amp;L'!Q6*30)</f>
        <v/>
      </c>
      <c r="R7" s="232">
        <f>IF('Consolidated P&amp;L'!R6=0,0,R6/'Consolidated P&amp;L'!R6*30)</f>
        <v/>
      </c>
      <c r="S7" s="232">
        <f>IF('Consolidated P&amp;L'!S6=0,0,S6/'Consolidated P&amp;L'!S6*30)</f>
        <v/>
      </c>
      <c r="T7" s="232">
        <f>IF('Consolidated P&amp;L'!T6=0,0,T6/'Consolidated P&amp;L'!T6*30)</f>
        <v/>
      </c>
      <c r="U7" s="232">
        <f>IF('Consolidated P&amp;L'!U6=0,0,U6/'Consolidated P&amp;L'!U6*30)</f>
        <v/>
      </c>
      <c r="V7" s="232">
        <f>IF('Consolidated P&amp;L'!V6=0,0,V6/'Consolidated P&amp;L'!V6*30)</f>
        <v/>
      </c>
      <c r="W7" s="232">
        <f>IF('Consolidated P&amp;L'!W6=0,0,W6/'Consolidated P&amp;L'!W6*30)</f>
        <v/>
      </c>
      <c r="X7" s="232">
        <f>IF('Consolidated P&amp;L'!X6=0,0,X6/'Consolidated P&amp;L'!X6*30)</f>
        <v/>
      </c>
      <c r="Y7" s="232">
        <f>IF('Consolidated P&amp;L'!Y6=0,0,Y6/'Consolidated P&amp;L'!Y6*30)</f>
        <v/>
      </c>
      <c r="Z7" s="232">
        <f>IF('Consolidated P&amp;L'!Z6=0,0,Z6/'Consolidated P&amp;L'!Z6*30)</f>
        <v/>
      </c>
      <c r="AA7" s="232">
        <f>IF('Consolidated P&amp;L'!AA6=0,0,AA6/'Consolidated P&amp;L'!AA6*30)</f>
        <v/>
      </c>
      <c r="AB7" s="232">
        <f>IF('Consolidated P&amp;L'!AB6=0,0,AB6/'Consolidated P&amp;L'!AB6*30)</f>
        <v/>
      </c>
      <c r="AC7" s="232">
        <f>IF('Consolidated P&amp;L'!AC6=0,0,AC6/'Consolidated P&amp;L'!AC6*30)</f>
        <v/>
      </c>
      <c r="AD7" s="232">
        <f>IF('Consolidated P&amp;L'!AD6=0,0,AD6/'Consolidated P&amp;L'!AD6*30)</f>
        <v/>
      </c>
      <c r="AE7" s="232">
        <f>IF('Consolidated P&amp;L'!AE6=0,0,AE6/'Consolidated P&amp;L'!AE6*30)</f>
        <v/>
      </c>
      <c r="AF7" s="232">
        <f>IF('Consolidated P&amp;L'!AF6=0,0,AF6/'Consolidated P&amp;L'!AF6*30)</f>
        <v/>
      </c>
      <c r="AG7" s="232">
        <f>IF('Consolidated P&amp;L'!AG6=0,0,AG6/'Consolidated P&amp;L'!AG6*30)</f>
        <v/>
      </c>
      <c r="AH7" s="232">
        <f>IF('Consolidated P&amp;L'!AH6=0,0,AH6/'Consolidated P&amp;L'!AH6*30)</f>
        <v/>
      </c>
      <c r="AI7" s="232">
        <f>IF('Consolidated P&amp;L'!AI6=0,0,AI6/'Consolidated P&amp;L'!AI6*30)</f>
        <v/>
      </c>
      <c r="AJ7" s="232">
        <f>IF('Consolidated P&amp;L'!AJ6=0,0,AJ6/'Consolidated P&amp;L'!AJ6*30)</f>
        <v/>
      </c>
      <c r="AK7" s="232">
        <f>IF('Consolidated P&amp;L'!AK6=0,0,AK6/'Consolidated P&amp;L'!AK6*30)</f>
        <v/>
      </c>
      <c r="AL7" s="232">
        <f>IF('Consolidated P&amp;L'!AL6=0,0,AL6/'Consolidated P&amp;L'!AL6*30)</f>
        <v/>
      </c>
      <c r="AM7" s="232">
        <f>IF('Consolidated P&amp;L'!AM6=0,0,AM6/'Consolidated P&amp;L'!AM6*30)</f>
        <v/>
      </c>
      <c r="AN7" s="232">
        <f>IF('Consolidated P&amp;L'!AN6=0,0,AN6/'Consolidated P&amp;L'!AN6*30)</f>
        <v/>
      </c>
      <c r="AO7" s="232">
        <f>IF('Consolidated P&amp;L'!AO6=0,0,AO6/'Consolidated P&amp;L'!AO6*30)</f>
        <v/>
      </c>
      <c r="AP7" s="232">
        <f>IF('Consolidated P&amp;L'!AP6=0,0,AP6/'Consolidated P&amp;L'!AP6*30)</f>
        <v/>
      </c>
      <c r="AQ7" s="232">
        <f>IF('Consolidated P&amp;L'!AQ6=0,0,AQ6/'Consolidated P&amp;L'!AQ6*30)</f>
        <v/>
      </c>
      <c r="AR7" s="232">
        <f>IF('Consolidated P&amp;L'!AR6=0,0,AR6/'Consolidated P&amp;L'!AR6*30)</f>
        <v/>
      </c>
      <c r="AS7" s="232">
        <f>IF('Consolidated P&amp;L'!AS6=0,0,AS6/'Consolidated P&amp;L'!AS6*30)</f>
        <v/>
      </c>
      <c r="AT7" s="232">
        <f>IF('Consolidated P&amp;L'!AT6=0,0,AT6/'Consolidated P&amp;L'!AT6*30)</f>
        <v/>
      </c>
      <c r="AU7" s="232">
        <f>IF('Consolidated P&amp;L'!AU6=0,0,AU6/'Consolidated P&amp;L'!AU6*30)</f>
        <v/>
      </c>
      <c r="AV7" s="232">
        <f>IF('Consolidated P&amp;L'!AV6=0,0,AV6/'Consolidated P&amp;L'!AV6*30)</f>
        <v/>
      </c>
      <c r="AW7" s="232">
        <f>IF('Consolidated P&amp;L'!AW6=0,0,AW6/'Consolidated P&amp;L'!AW6*30)</f>
        <v/>
      </c>
      <c r="AX7" s="232">
        <f>IF('Consolidated P&amp;L'!AX6=0,0,AX6/'Consolidated P&amp;L'!AX6*30)</f>
        <v/>
      </c>
      <c r="AY7" s="232">
        <f>IF('Consolidated P&amp;L'!AY6=0,0,AY6/'Consolidated P&amp;L'!AY6*30)</f>
        <v/>
      </c>
      <c r="AZ7" s="232">
        <f>IF('Consolidated P&amp;L'!AZ6=0,0,AZ6/'Consolidated P&amp;L'!AZ6*30)</f>
        <v/>
      </c>
      <c r="BA7" s="232">
        <f>IF('Consolidated P&amp;L'!BA6=0,0,BA6/'Consolidated P&amp;L'!BA6*30)</f>
        <v/>
      </c>
      <c r="BB7" s="232">
        <f>IF('Consolidated P&amp;L'!BB6=0,0,BB6/'Consolidated P&amp;L'!BB6*30)</f>
        <v/>
      </c>
      <c r="BC7" s="232">
        <f>IF('Consolidated P&amp;L'!BC6=0,0,BC6/'Consolidated P&amp;L'!BC6*30)</f>
        <v/>
      </c>
      <c r="BD7" s="232">
        <f>IF('Consolidated P&amp;L'!BD6=0,0,BD6/'Consolidated P&amp;L'!BD6*30)</f>
        <v/>
      </c>
      <c r="BE7" s="232">
        <f>IF('Consolidated P&amp;L'!BE6=0,0,BE6/'Consolidated P&amp;L'!BE6*30)</f>
        <v/>
      </c>
      <c r="BF7" s="232">
        <f>IF('Consolidated P&amp;L'!BF6=0,0,BF6/'Consolidated P&amp;L'!BF6*30)</f>
        <v/>
      </c>
      <c r="BG7" s="232">
        <f>IF('Consolidated P&amp;L'!BG6=0,0,BG6/'Consolidated P&amp;L'!BG6*30)</f>
        <v/>
      </c>
      <c r="BH7" s="232">
        <f>IF('Consolidated P&amp;L'!BH6=0,0,BH6/'Consolidated P&amp;L'!BH6*30)</f>
        <v/>
      </c>
      <c r="BI7" s="232">
        <f>IF('Consolidated P&amp;L'!BI6=0,0,BI6/'Consolidated P&amp;L'!BI6*30)</f>
        <v/>
      </c>
      <c r="BJ7" s="232">
        <f>IF('Consolidated P&amp;L'!BJ6=0,0,BJ6/'Consolidated P&amp;L'!BJ6*30)</f>
        <v/>
      </c>
    </row>
    <row r="8" ht="15" customHeight="1" s="104">
      <c r="A8" s="107" t="inlineStr">
        <is>
          <t>Prepaid Assets</t>
        </is>
      </c>
      <c r="C8" s="156">
        <f>'Consolidated P&amp;L'!C6*Assumptions!B44</f>
        <v/>
      </c>
      <c r="D8" s="156">
        <f>'Consolidated P&amp;L'!D6*Assumptions!B44</f>
        <v/>
      </c>
      <c r="E8" s="156">
        <f>'Consolidated P&amp;L'!E6*Assumptions!B44</f>
        <v/>
      </c>
      <c r="F8" s="156">
        <f>'Consolidated P&amp;L'!F6*Assumptions!B44</f>
        <v/>
      </c>
      <c r="G8" s="156">
        <f>'Consolidated P&amp;L'!G6*Assumptions!B44</f>
        <v/>
      </c>
      <c r="H8" s="156">
        <f>'Consolidated P&amp;L'!H6*Assumptions!B44</f>
        <v/>
      </c>
      <c r="I8" s="156">
        <f>'Consolidated P&amp;L'!I6*Assumptions!B44</f>
        <v/>
      </c>
      <c r="J8" s="156">
        <f>'Consolidated P&amp;L'!J6*Assumptions!B44</f>
        <v/>
      </c>
      <c r="K8" s="156">
        <f>'Consolidated P&amp;L'!K6*Assumptions!B44</f>
        <v/>
      </c>
      <c r="L8" s="156">
        <f>'Consolidated P&amp;L'!L6*Assumptions!B44</f>
        <v/>
      </c>
      <c r="M8" s="156">
        <f>'Consolidated P&amp;L'!M6*Assumptions!B44</f>
        <v/>
      </c>
      <c r="N8" s="156">
        <f>'Consolidated P&amp;L'!N6*Assumptions!B44</f>
        <v/>
      </c>
      <c r="O8" s="156">
        <f>'Consolidated P&amp;L'!O6*Assumptions!B44</f>
        <v/>
      </c>
      <c r="P8" s="156">
        <f>'Consolidated P&amp;L'!P6*Assumptions!B44</f>
        <v/>
      </c>
      <c r="Q8" s="156">
        <f>'Consolidated P&amp;L'!Q6*Assumptions!B44</f>
        <v/>
      </c>
      <c r="R8" s="156">
        <f>'Consolidated P&amp;L'!R6*Assumptions!B44</f>
        <v/>
      </c>
      <c r="S8" s="156">
        <f>'Consolidated P&amp;L'!S6*Assumptions!B44</f>
        <v/>
      </c>
      <c r="T8" s="156">
        <f>'Consolidated P&amp;L'!T6*Assumptions!B44</f>
        <v/>
      </c>
      <c r="U8" s="156">
        <f>'Consolidated P&amp;L'!U6*Assumptions!B44</f>
        <v/>
      </c>
      <c r="V8" s="156">
        <f>'Consolidated P&amp;L'!V6*Assumptions!B44</f>
        <v/>
      </c>
      <c r="W8" s="156">
        <f>'Consolidated P&amp;L'!W6*Assumptions!B44</f>
        <v/>
      </c>
      <c r="X8" s="156">
        <f>'Consolidated P&amp;L'!X6*Assumptions!B44</f>
        <v/>
      </c>
      <c r="Y8" s="156">
        <f>'Consolidated P&amp;L'!Y6*Assumptions!B44</f>
        <v/>
      </c>
      <c r="Z8" s="156">
        <f>'Consolidated P&amp;L'!Z6*Assumptions!B44</f>
        <v/>
      </c>
      <c r="AA8" s="156">
        <f>'Consolidated P&amp;L'!AA6*Assumptions!B44</f>
        <v/>
      </c>
      <c r="AB8" s="156">
        <f>'Consolidated P&amp;L'!AB6*Assumptions!B44</f>
        <v/>
      </c>
      <c r="AC8" s="156">
        <f>'Consolidated P&amp;L'!AC6*Assumptions!B44</f>
        <v/>
      </c>
      <c r="AD8" s="156">
        <f>'Consolidated P&amp;L'!AD6*Assumptions!B44</f>
        <v/>
      </c>
      <c r="AE8" s="156">
        <f>'Consolidated P&amp;L'!AE6*Assumptions!B44</f>
        <v/>
      </c>
      <c r="AF8" s="156">
        <f>'Consolidated P&amp;L'!AF6*Assumptions!B44</f>
        <v/>
      </c>
      <c r="AG8" s="156">
        <f>'Consolidated P&amp;L'!AG6*Assumptions!B44</f>
        <v/>
      </c>
      <c r="AH8" s="156">
        <f>'Consolidated P&amp;L'!AH6*Assumptions!B44</f>
        <v/>
      </c>
      <c r="AI8" s="156">
        <f>'Consolidated P&amp;L'!AI6*Assumptions!B44</f>
        <v/>
      </c>
      <c r="AJ8" s="156">
        <f>'Consolidated P&amp;L'!AJ6*Assumptions!B44</f>
        <v/>
      </c>
      <c r="AK8" s="156">
        <f>'Consolidated P&amp;L'!AK6*Assumptions!B44</f>
        <v/>
      </c>
      <c r="AL8" s="156">
        <f>'Consolidated P&amp;L'!AL6*Assumptions!B44</f>
        <v/>
      </c>
      <c r="AM8" s="156">
        <f>'Consolidated P&amp;L'!AM6*Assumptions!B44</f>
        <v/>
      </c>
      <c r="AN8" s="156">
        <f>'Consolidated P&amp;L'!AN6*Assumptions!B44</f>
        <v/>
      </c>
      <c r="AO8" s="156">
        <f>'Consolidated P&amp;L'!AO6*Assumptions!B44</f>
        <v/>
      </c>
      <c r="AP8" s="156">
        <f>'Consolidated P&amp;L'!AP6*Assumptions!B44</f>
        <v/>
      </c>
      <c r="AQ8" s="156">
        <f>'Consolidated P&amp;L'!AQ6*Assumptions!B44</f>
        <v/>
      </c>
      <c r="AR8" s="156">
        <f>'Consolidated P&amp;L'!AR6*Assumptions!B44</f>
        <v/>
      </c>
      <c r="AS8" s="156">
        <f>'Consolidated P&amp;L'!AS6*Assumptions!B44</f>
        <v/>
      </c>
      <c r="AT8" s="156">
        <f>'Consolidated P&amp;L'!AT6*Assumptions!B44</f>
        <v/>
      </c>
      <c r="AU8" s="156">
        <f>'Consolidated P&amp;L'!AU6*Assumptions!B44</f>
        <v/>
      </c>
      <c r="AV8" s="156">
        <f>'Consolidated P&amp;L'!AV6*Assumptions!B44</f>
        <v/>
      </c>
      <c r="AW8" s="156">
        <f>'Consolidated P&amp;L'!AW6*Assumptions!B44</f>
        <v/>
      </c>
      <c r="AX8" s="156">
        <f>'Consolidated P&amp;L'!AX6*Assumptions!B44</f>
        <v/>
      </c>
      <c r="AY8" s="156">
        <f>'Consolidated P&amp;L'!AY6*Assumptions!B44</f>
        <v/>
      </c>
      <c r="AZ8" s="156">
        <f>'Consolidated P&amp;L'!AZ6*Assumptions!B44</f>
        <v/>
      </c>
      <c r="BA8" s="156">
        <f>'Consolidated P&amp;L'!BA6*Assumptions!B44</f>
        <v/>
      </c>
      <c r="BB8" s="156">
        <f>'Consolidated P&amp;L'!BB6*Assumptions!B44</f>
        <v/>
      </c>
      <c r="BC8" s="156">
        <f>'Consolidated P&amp;L'!BC6*Assumptions!B44</f>
        <v/>
      </c>
      <c r="BD8" s="156">
        <f>'Consolidated P&amp;L'!BD6*Assumptions!B44</f>
        <v/>
      </c>
      <c r="BE8" s="156">
        <f>'Consolidated P&amp;L'!BE6*Assumptions!B44</f>
        <v/>
      </c>
      <c r="BF8" s="156">
        <f>'Consolidated P&amp;L'!BF6*Assumptions!B44</f>
        <v/>
      </c>
      <c r="BG8" s="156">
        <f>'Consolidated P&amp;L'!BG6*Assumptions!B44</f>
        <v/>
      </c>
      <c r="BH8" s="156">
        <f>'Consolidated P&amp;L'!BH6*Assumptions!B44</f>
        <v/>
      </c>
      <c r="BI8" s="156">
        <f>'Consolidated P&amp;L'!BI6*Assumptions!B44</f>
        <v/>
      </c>
      <c r="BJ8" s="156">
        <f>'Consolidated P&amp;L'!BJ6*Assumptions!B44</f>
        <v/>
      </c>
      <c r="BL8" s="157">
        <f>N8</f>
        <v/>
      </c>
      <c r="BM8" s="157">
        <f>Z8</f>
        <v/>
      </c>
      <c r="BN8" s="157">
        <f>AL8</f>
        <v/>
      </c>
      <c r="BO8" s="157">
        <f>AX8</f>
        <v/>
      </c>
      <c r="BP8" s="157">
        <f>BJ8</f>
        <v/>
      </c>
    </row>
    <row r="9" ht="15" customHeight="1" s="104">
      <c r="A9" s="231" t="inlineStr">
        <is>
          <t xml:space="preserve">    Prepaid % of Monthly Revenue</t>
        </is>
      </c>
      <c r="C9" s="233">
        <f>IF('Consolidated P&amp;L'!C6=0,0,C8/'Consolidated P&amp;L'!C6)</f>
        <v/>
      </c>
      <c r="D9" s="233">
        <f>IF('Consolidated P&amp;L'!D6=0,0,D8/'Consolidated P&amp;L'!D6)</f>
        <v/>
      </c>
      <c r="E9" s="233">
        <f>IF('Consolidated P&amp;L'!E6=0,0,E8/'Consolidated P&amp;L'!E6)</f>
        <v/>
      </c>
      <c r="F9" s="233">
        <f>IF('Consolidated P&amp;L'!F6=0,0,F8/'Consolidated P&amp;L'!F6)</f>
        <v/>
      </c>
      <c r="G9" s="233">
        <f>IF('Consolidated P&amp;L'!G6=0,0,G8/'Consolidated P&amp;L'!G6)</f>
        <v/>
      </c>
      <c r="H9" s="233">
        <f>IF('Consolidated P&amp;L'!H6=0,0,H8/'Consolidated P&amp;L'!H6)</f>
        <v/>
      </c>
      <c r="I9" s="233">
        <f>IF('Consolidated P&amp;L'!I6=0,0,I8/'Consolidated P&amp;L'!I6)</f>
        <v/>
      </c>
      <c r="J9" s="233">
        <f>IF('Consolidated P&amp;L'!J6=0,0,J8/'Consolidated P&amp;L'!J6)</f>
        <v/>
      </c>
      <c r="K9" s="233">
        <f>IF('Consolidated P&amp;L'!K6=0,0,K8/'Consolidated P&amp;L'!K6)</f>
        <v/>
      </c>
      <c r="L9" s="233">
        <f>IF('Consolidated P&amp;L'!L6=0,0,L8/'Consolidated P&amp;L'!L6)</f>
        <v/>
      </c>
      <c r="M9" s="233">
        <f>IF('Consolidated P&amp;L'!M6=0,0,M8/'Consolidated P&amp;L'!M6)</f>
        <v/>
      </c>
      <c r="N9" s="233">
        <f>IF('Consolidated P&amp;L'!N6=0,0,N8/'Consolidated P&amp;L'!N6)</f>
        <v/>
      </c>
      <c r="O9" s="233">
        <f>IF('Consolidated P&amp;L'!O6=0,0,O8/'Consolidated P&amp;L'!O6)</f>
        <v/>
      </c>
      <c r="P9" s="233">
        <f>IF('Consolidated P&amp;L'!P6=0,0,P8/'Consolidated P&amp;L'!P6)</f>
        <v/>
      </c>
      <c r="Q9" s="233">
        <f>IF('Consolidated P&amp;L'!Q6=0,0,Q8/'Consolidated P&amp;L'!Q6)</f>
        <v/>
      </c>
      <c r="R9" s="233">
        <f>IF('Consolidated P&amp;L'!R6=0,0,R8/'Consolidated P&amp;L'!R6)</f>
        <v/>
      </c>
      <c r="S9" s="233">
        <f>IF('Consolidated P&amp;L'!S6=0,0,S8/'Consolidated P&amp;L'!S6)</f>
        <v/>
      </c>
      <c r="T9" s="233">
        <f>IF('Consolidated P&amp;L'!T6=0,0,T8/'Consolidated P&amp;L'!T6)</f>
        <v/>
      </c>
      <c r="U9" s="233">
        <f>IF('Consolidated P&amp;L'!U6=0,0,U8/'Consolidated P&amp;L'!U6)</f>
        <v/>
      </c>
      <c r="V9" s="233">
        <f>IF('Consolidated P&amp;L'!V6=0,0,V8/'Consolidated P&amp;L'!V6)</f>
        <v/>
      </c>
      <c r="W9" s="233">
        <f>IF('Consolidated P&amp;L'!W6=0,0,W8/'Consolidated P&amp;L'!W6)</f>
        <v/>
      </c>
      <c r="X9" s="233">
        <f>IF('Consolidated P&amp;L'!X6=0,0,X8/'Consolidated P&amp;L'!X6)</f>
        <v/>
      </c>
      <c r="Y9" s="233">
        <f>IF('Consolidated P&amp;L'!Y6=0,0,Y8/'Consolidated P&amp;L'!Y6)</f>
        <v/>
      </c>
      <c r="Z9" s="233">
        <f>IF('Consolidated P&amp;L'!Z6=0,0,Z8/'Consolidated P&amp;L'!Z6)</f>
        <v/>
      </c>
      <c r="AA9" s="233">
        <f>IF('Consolidated P&amp;L'!AA6=0,0,AA8/'Consolidated P&amp;L'!AA6)</f>
        <v/>
      </c>
      <c r="AB9" s="233">
        <f>IF('Consolidated P&amp;L'!AB6=0,0,AB8/'Consolidated P&amp;L'!AB6)</f>
        <v/>
      </c>
      <c r="AC9" s="233">
        <f>IF('Consolidated P&amp;L'!AC6=0,0,AC8/'Consolidated P&amp;L'!AC6)</f>
        <v/>
      </c>
      <c r="AD9" s="233">
        <f>IF('Consolidated P&amp;L'!AD6=0,0,AD8/'Consolidated P&amp;L'!AD6)</f>
        <v/>
      </c>
      <c r="AE9" s="233">
        <f>IF('Consolidated P&amp;L'!AE6=0,0,AE8/'Consolidated P&amp;L'!AE6)</f>
        <v/>
      </c>
      <c r="AF9" s="233">
        <f>IF('Consolidated P&amp;L'!AF6=0,0,AF8/'Consolidated P&amp;L'!AF6)</f>
        <v/>
      </c>
      <c r="AG9" s="233">
        <f>IF('Consolidated P&amp;L'!AG6=0,0,AG8/'Consolidated P&amp;L'!AG6)</f>
        <v/>
      </c>
      <c r="AH9" s="233">
        <f>IF('Consolidated P&amp;L'!AH6=0,0,AH8/'Consolidated P&amp;L'!AH6)</f>
        <v/>
      </c>
      <c r="AI9" s="233">
        <f>IF('Consolidated P&amp;L'!AI6=0,0,AI8/'Consolidated P&amp;L'!AI6)</f>
        <v/>
      </c>
      <c r="AJ9" s="233">
        <f>IF('Consolidated P&amp;L'!AJ6=0,0,AJ8/'Consolidated P&amp;L'!AJ6)</f>
        <v/>
      </c>
      <c r="AK9" s="233">
        <f>IF('Consolidated P&amp;L'!AK6=0,0,AK8/'Consolidated P&amp;L'!AK6)</f>
        <v/>
      </c>
      <c r="AL9" s="233">
        <f>IF('Consolidated P&amp;L'!AL6=0,0,AL8/'Consolidated P&amp;L'!AL6)</f>
        <v/>
      </c>
      <c r="AM9" s="233">
        <f>IF('Consolidated P&amp;L'!AM6=0,0,AM8/'Consolidated P&amp;L'!AM6)</f>
        <v/>
      </c>
      <c r="AN9" s="233">
        <f>IF('Consolidated P&amp;L'!AN6=0,0,AN8/'Consolidated P&amp;L'!AN6)</f>
        <v/>
      </c>
      <c r="AO9" s="233">
        <f>IF('Consolidated P&amp;L'!AO6=0,0,AO8/'Consolidated P&amp;L'!AO6)</f>
        <v/>
      </c>
      <c r="AP9" s="233">
        <f>IF('Consolidated P&amp;L'!AP6=0,0,AP8/'Consolidated P&amp;L'!AP6)</f>
        <v/>
      </c>
      <c r="AQ9" s="233">
        <f>IF('Consolidated P&amp;L'!AQ6=0,0,AQ8/'Consolidated P&amp;L'!AQ6)</f>
        <v/>
      </c>
      <c r="AR9" s="233">
        <f>IF('Consolidated P&amp;L'!AR6=0,0,AR8/'Consolidated P&amp;L'!AR6)</f>
        <v/>
      </c>
      <c r="AS9" s="233">
        <f>IF('Consolidated P&amp;L'!AS6=0,0,AS8/'Consolidated P&amp;L'!AS6)</f>
        <v/>
      </c>
      <c r="AT9" s="233">
        <f>IF('Consolidated P&amp;L'!AT6=0,0,AT8/'Consolidated P&amp;L'!AT6)</f>
        <v/>
      </c>
      <c r="AU9" s="233">
        <f>IF('Consolidated P&amp;L'!AU6=0,0,AU8/'Consolidated P&amp;L'!AU6)</f>
        <v/>
      </c>
      <c r="AV9" s="233">
        <f>IF('Consolidated P&amp;L'!AV6=0,0,AV8/'Consolidated P&amp;L'!AV6)</f>
        <v/>
      </c>
      <c r="AW9" s="233">
        <f>IF('Consolidated P&amp;L'!AW6=0,0,AW8/'Consolidated P&amp;L'!AW6)</f>
        <v/>
      </c>
      <c r="AX9" s="233">
        <f>IF('Consolidated P&amp;L'!AX6=0,0,AX8/'Consolidated P&amp;L'!AX6)</f>
        <v/>
      </c>
      <c r="AY9" s="233">
        <f>IF('Consolidated P&amp;L'!AY6=0,0,AY8/'Consolidated P&amp;L'!AY6)</f>
        <v/>
      </c>
      <c r="AZ9" s="233">
        <f>IF('Consolidated P&amp;L'!AZ6=0,0,AZ8/'Consolidated P&amp;L'!AZ6)</f>
        <v/>
      </c>
      <c r="BA9" s="233">
        <f>IF('Consolidated P&amp;L'!BA6=0,0,BA8/'Consolidated P&amp;L'!BA6)</f>
        <v/>
      </c>
      <c r="BB9" s="233">
        <f>IF('Consolidated P&amp;L'!BB6=0,0,BB8/'Consolidated P&amp;L'!BB6)</f>
        <v/>
      </c>
      <c r="BC9" s="233">
        <f>IF('Consolidated P&amp;L'!BC6=0,0,BC8/'Consolidated P&amp;L'!BC6)</f>
        <v/>
      </c>
      <c r="BD9" s="233">
        <f>IF('Consolidated P&amp;L'!BD6=0,0,BD8/'Consolidated P&amp;L'!BD6)</f>
        <v/>
      </c>
      <c r="BE9" s="233">
        <f>IF('Consolidated P&amp;L'!BE6=0,0,BE8/'Consolidated P&amp;L'!BE6)</f>
        <v/>
      </c>
      <c r="BF9" s="233">
        <f>IF('Consolidated P&amp;L'!BF6=0,0,BF8/'Consolidated P&amp;L'!BF6)</f>
        <v/>
      </c>
      <c r="BG9" s="233">
        <f>IF('Consolidated P&amp;L'!BG6=0,0,BG8/'Consolidated P&amp;L'!BG6)</f>
        <v/>
      </c>
      <c r="BH9" s="233">
        <f>IF('Consolidated P&amp;L'!BH6=0,0,BH8/'Consolidated P&amp;L'!BH6)</f>
        <v/>
      </c>
      <c r="BI9" s="233">
        <f>IF('Consolidated P&amp;L'!BI6=0,0,BI8/'Consolidated P&amp;L'!BI6)</f>
        <v/>
      </c>
      <c r="BJ9" s="233">
        <f>IF('Consolidated P&amp;L'!BJ6=0,0,BJ8/'Consolidated P&amp;L'!BJ6)</f>
        <v/>
      </c>
    </row>
    <row r="10" ht="15" customHeight="1" s="104">
      <c r="A10" s="116" t="inlineStr">
        <is>
          <t>Total Current Assets (WC)</t>
        </is>
      </c>
      <c r="C10" s="151">
        <f>C6+C8</f>
        <v/>
      </c>
      <c r="D10" s="151">
        <f>D6+D8</f>
        <v/>
      </c>
      <c r="E10" s="151">
        <f>E6+E8</f>
        <v/>
      </c>
      <c r="F10" s="151">
        <f>F6+F8</f>
        <v/>
      </c>
      <c r="G10" s="151">
        <f>G6+G8</f>
        <v/>
      </c>
      <c r="H10" s="151">
        <f>H6+H8</f>
        <v/>
      </c>
      <c r="I10" s="151">
        <f>I6+I8</f>
        <v/>
      </c>
      <c r="J10" s="151">
        <f>J6+J8</f>
        <v/>
      </c>
      <c r="K10" s="151">
        <f>K6+K8</f>
        <v/>
      </c>
      <c r="L10" s="151">
        <f>L6+L8</f>
        <v/>
      </c>
      <c r="M10" s="151">
        <f>M6+M8</f>
        <v/>
      </c>
      <c r="N10" s="151">
        <f>N6+N8</f>
        <v/>
      </c>
      <c r="O10" s="151">
        <f>O6+O8</f>
        <v/>
      </c>
      <c r="P10" s="151">
        <f>P6+P8</f>
        <v/>
      </c>
      <c r="Q10" s="151">
        <f>Q6+Q8</f>
        <v/>
      </c>
      <c r="R10" s="151">
        <f>R6+R8</f>
        <v/>
      </c>
      <c r="S10" s="151">
        <f>S6+S8</f>
        <v/>
      </c>
      <c r="T10" s="151">
        <f>T6+T8</f>
        <v/>
      </c>
      <c r="U10" s="151">
        <f>U6+U8</f>
        <v/>
      </c>
      <c r="V10" s="151">
        <f>V6+V8</f>
        <v/>
      </c>
      <c r="W10" s="151">
        <f>W6+W8</f>
        <v/>
      </c>
      <c r="X10" s="151">
        <f>X6+X8</f>
        <v/>
      </c>
      <c r="Y10" s="151">
        <f>Y6+Y8</f>
        <v/>
      </c>
      <c r="Z10" s="151">
        <f>Z6+Z8</f>
        <v/>
      </c>
      <c r="AA10" s="151">
        <f>AA6+AA8</f>
        <v/>
      </c>
      <c r="AB10" s="151">
        <f>AB6+AB8</f>
        <v/>
      </c>
      <c r="AC10" s="151">
        <f>AC6+AC8</f>
        <v/>
      </c>
      <c r="AD10" s="151">
        <f>AD6+AD8</f>
        <v/>
      </c>
      <c r="AE10" s="151">
        <f>AE6+AE8</f>
        <v/>
      </c>
      <c r="AF10" s="151">
        <f>AF6+AF8</f>
        <v/>
      </c>
      <c r="AG10" s="151">
        <f>AG6+AG8</f>
        <v/>
      </c>
      <c r="AH10" s="151">
        <f>AH6+AH8</f>
        <v/>
      </c>
      <c r="AI10" s="151">
        <f>AI6+AI8</f>
        <v/>
      </c>
      <c r="AJ10" s="151">
        <f>AJ6+AJ8</f>
        <v/>
      </c>
      <c r="AK10" s="151">
        <f>AK6+AK8</f>
        <v/>
      </c>
      <c r="AL10" s="151">
        <f>AL6+AL8</f>
        <v/>
      </c>
      <c r="AM10" s="151">
        <f>AM6+AM8</f>
        <v/>
      </c>
      <c r="AN10" s="151">
        <f>AN6+AN8</f>
        <v/>
      </c>
      <c r="AO10" s="151">
        <f>AO6+AO8</f>
        <v/>
      </c>
      <c r="AP10" s="151">
        <f>AP6+AP8</f>
        <v/>
      </c>
      <c r="AQ10" s="151">
        <f>AQ6+AQ8</f>
        <v/>
      </c>
      <c r="AR10" s="151">
        <f>AR6+AR8</f>
        <v/>
      </c>
      <c r="AS10" s="151">
        <f>AS6+AS8</f>
        <v/>
      </c>
      <c r="AT10" s="151">
        <f>AT6+AT8</f>
        <v/>
      </c>
      <c r="AU10" s="151">
        <f>AU6+AU8</f>
        <v/>
      </c>
      <c r="AV10" s="151">
        <f>AV6+AV8</f>
        <v/>
      </c>
      <c r="AW10" s="151">
        <f>AW6+AW8</f>
        <v/>
      </c>
      <c r="AX10" s="151">
        <f>AX6+AX8</f>
        <v/>
      </c>
      <c r="AY10" s="151">
        <f>AY6+AY8</f>
        <v/>
      </c>
      <c r="AZ10" s="151">
        <f>AZ6+AZ8</f>
        <v/>
      </c>
      <c r="BA10" s="151">
        <f>BA6+BA8</f>
        <v/>
      </c>
      <c r="BB10" s="151">
        <f>BB6+BB8</f>
        <v/>
      </c>
      <c r="BC10" s="151">
        <f>BC6+BC8</f>
        <v/>
      </c>
      <c r="BD10" s="151">
        <f>BD6+BD8</f>
        <v/>
      </c>
      <c r="BE10" s="151">
        <f>BE6+BE8</f>
        <v/>
      </c>
      <c r="BF10" s="151">
        <f>BF6+BF8</f>
        <v/>
      </c>
      <c r="BG10" s="151">
        <f>BG6+BG8</f>
        <v/>
      </c>
      <c r="BH10" s="151">
        <f>BH6+BH8</f>
        <v/>
      </c>
      <c r="BI10" s="151">
        <f>BI6+BI8</f>
        <v/>
      </c>
      <c r="BJ10" s="151">
        <f>BJ6+BJ8</f>
        <v/>
      </c>
      <c r="BL10" s="152">
        <f>N10</f>
        <v/>
      </c>
      <c r="BM10" s="152">
        <f>Z10</f>
        <v/>
      </c>
      <c r="BN10" s="152">
        <f>AL10</f>
        <v/>
      </c>
      <c r="BO10" s="152">
        <f>AX10</f>
        <v/>
      </c>
      <c r="BP10" s="152">
        <f>BJ10</f>
        <v/>
      </c>
    </row>
    <row r="12" ht="15" customHeight="1" s="104">
      <c r="A12" s="106" t="inlineStr">
        <is>
          <t>CURRENT LIABILITIES</t>
        </is>
      </c>
    </row>
    <row r="13" ht="15" customHeight="1" s="104">
      <c r="A13" s="107" t="inlineStr">
        <is>
          <t>Accounts Payable</t>
        </is>
      </c>
      <c r="C13" s="156">
        <f>'Consolidated P&amp;L'!C8*Assumptions!B45/30</f>
        <v/>
      </c>
      <c r="D13" s="156">
        <f>'Consolidated P&amp;L'!D8*Assumptions!B45/30</f>
        <v/>
      </c>
      <c r="E13" s="156">
        <f>'Consolidated P&amp;L'!E8*Assumptions!B45/30</f>
        <v/>
      </c>
      <c r="F13" s="156">
        <f>'Consolidated P&amp;L'!F8*Assumptions!B45/30</f>
        <v/>
      </c>
      <c r="G13" s="156">
        <f>'Consolidated P&amp;L'!G8*Assumptions!B45/30</f>
        <v/>
      </c>
      <c r="H13" s="156">
        <f>'Consolidated P&amp;L'!H8*Assumptions!B45/30</f>
        <v/>
      </c>
      <c r="I13" s="156">
        <f>'Consolidated P&amp;L'!I8*Assumptions!B45/30</f>
        <v/>
      </c>
      <c r="J13" s="156">
        <f>'Consolidated P&amp;L'!J8*Assumptions!B45/30</f>
        <v/>
      </c>
      <c r="K13" s="156">
        <f>'Consolidated P&amp;L'!K8*Assumptions!B45/30</f>
        <v/>
      </c>
      <c r="L13" s="156">
        <f>'Consolidated P&amp;L'!L8*Assumptions!B45/30</f>
        <v/>
      </c>
      <c r="M13" s="156">
        <f>'Consolidated P&amp;L'!M8*Assumptions!B45/30</f>
        <v/>
      </c>
      <c r="N13" s="156">
        <f>'Consolidated P&amp;L'!N8*Assumptions!B45/30</f>
        <v/>
      </c>
      <c r="O13" s="156">
        <f>'Consolidated P&amp;L'!O8*Assumptions!B45/30</f>
        <v/>
      </c>
      <c r="P13" s="156">
        <f>'Consolidated P&amp;L'!P8*Assumptions!B45/30</f>
        <v/>
      </c>
      <c r="Q13" s="156">
        <f>'Consolidated P&amp;L'!Q8*Assumptions!B45/30</f>
        <v/>
      </c>
      <c r="R13" s="156">
        <f>'Consolidated P&amp;L'!R8*Assumptions!B45/30</f>
        <v/>
      </c>
      <c r="S13" s="156">
        <f>'Consolidated P&amp;L'!S8*Assumptions!B45/30</f>
        <v/>
      </c>
      <c r="T13" s="156">
        <f>'Consolidated P&amp;L'!T8*Assumptions!B45/30</f>
        <v/>
      </c>
      <c r="U13" s="156">
        <f>'Consolidated P&amp;L'!U8*Assumptions!B45/30</f>
        <v/>
      </c>
      <c r="V13" s="156">
        <f>'Consolidated P&amp;L'!V8*Assumptions!B45/30</f>
        <v/>
      </c>
      <c r="W13" s="156">
        <f>'Consolidated P&amp;L'!W8*Assumptions!B45/30</f>
        <v/>
      </c>
      <c r="X13" s="156">
        <f>'Consolidated P&amp;L'!X8*Assumptions!B45/30</f>
        <v/>
      </c>
      <c r="Y13" s="156">
        <f>'Consolidated P&amp;L'!Y8*Assumptions!B45/30</f>
        <v/>
      </c>
      <c r="Z13" s="156">
        <f>'Consolidated P&amp;L'!Z8*Assumptions!B45/30</f>
        <v/>
      </c>
      <c r="AA13" s="156">
        <f>'Consolidated P&amp;L'!AA8*Assumptions!B45/30</f>
        <v/>
      </c>
      <c r="AB13" s="156">
        <f>'Consolidated P&amp;L'!AB8*Assumptions!B45/30</f>
        <v/>
      </c>
      <c r="AC13" s="156">
        <f>'Consolidated P&amp;L'!AC8*Assumptions!B45/30</f>
        <v/>
      </c>
      <c r="AD13" s="156">
        <f>'Consolidated P&amp;L'!AD8*Assumptions!B45/30</f>
        <v/>
      </c>
      <c r="AE13" s="156">
        <f>'Consolidated P&amp;L'!AE8*Assumptions!B45/30</f>
        <v/>
      </c>
      <c r="AF13" s="156">
        <f>'Consolidated P&amp;L'!AF8*Assumptions!B45/30</f>
        <v/>
      </c>
      <c r="AG13" s="156">
        <f>'Consolidated P&amp;L'!AG8*Assumptions!B45/30</f>
        <v/>
      </c>
      <c r="AH13" s="156">
        <f>'Consolidated P&amp;L'!AH8*Assumptions!B45/30</f>
        <v/>
      </c>
      <c r="AI13" s="156">
        <f>'Consolidated P&amp;L'!AI8*Assumptions!B45/30</f>
        <v/>
      </c>
      <c r="AJ13" s="156">
        <f>'Consolidated P&amp;L'!AJ8*Assumptions!B45/30</f>
        <v/>
      </c>
      <c r="AK13" s="156">
        <f>'Consolidated P&amp;L'!AK8*Assumptions!B45/30</f>
        <v/>
      </c>
      <c r="AL13" s="156">
        <f>'Consolidated P&amp;L'!AL8*Assumptions!B45/30</f>
        <v/>
      </c>
      <c r="AM13" s="156">
        <f>'Consolidated P&amp;L'!AM8*Assumptions!B45/30</f>
        <v/>
      </c>
      <c r="AN13" s="156">
        <f>'Consolidated P&amp;L'!AN8*Assumptions!B45/30</f>
        <v/>
      </c>
      <c r="AO13" s="156">
        <f>'Consolidated P&amp;L'!AO8*Assumptions!B45/30</f>
        <v/>
      </c>
      <c r="AP13" s="156">
        <f>'Consolidated P&amp;L'!AP8*Assumptions!B45/30</f>
        <v/>
      </c>
      <c r="AQ13" s="156">
        <f>'Consolidated P&amp;L'!AQ8*Assumptions!B45/30</f>
        <v/>
      </c>
      <c r="AR13" s="156">
        <f>'Consolidated P&amp;L'!AR8*Assumptions!B45/30</f>
        <v/>
      </c>
      <c r="AS13" s="156">
        <f>'Consolidated P&amp;L'!AS8*Assumptions!B45/30</f>
        <v/>
      </c>
      <c r="AT13" s="156">
        <f>'Consolidated P&amp;L'!AT8*Assumptions!B45/30</f>
        <v/>
      </c>
      <c r="AU13" s="156">
        <f>'Consolidated P&amp;L'!AU8*Assumptions!B45/30</f>
        <v/>
      </c>
      <c r="AV13" s="156">
        <f>'Consolidated P&amp;L'!AV8*Assumptions!B45/30</f>
        <v/>
      </c>
      <c r="AW13" s="156">
        <f>'Consolidated P&amp;L'!AW8*Assumptions!B45/30</f>
        <v/>
      </c>
      <c r="AX13" s="156">
        <f>'Consolidated P&amp;L'!AX8*Assumptions!B45/30</f>
        <v/>
      </c>
      <c r="AY13" s="156">
        <f>'Consolidated P&amp;L'!AY8*Assumptions!B45/30</f>
        <v/>
      </c>
      <c r="AZ13" s="156">
        <f>'Consolidated P&amp;L'!AZ8*Assumptions!B45/30</f>
        <v/>
      </c>
      <c r="BA13" s="156">
        <f>'Consolidated P&amp;L'!BA8*Assumptions!B45/30</f>
        <v/>
      </c>
      <c r="BB13" s="156">
        <f>'Consolidated P&amp;L'!BB8*Assumptions!B45/30</f>
        <v/>
      </c>
      <c r="BC13" s="156">
        <f>'Consolidated P&amp;L'!BC8*Assumptions!B45/30</f>
        <v/>
      </c>
      <c r="BD13" s="156">
        <f>'Consolidated P&amp;L'!BD8*Assumptions!B45/30</f>
        <v/>
      </c>
      <c r="BE13" s="156">
        <f>'Consolidated P&amp;L'!BE8*Assumptions!B45/30</f>
        <v/>
      </c>
      <c r="BF13" s="156">
        <f>'Consolidated P&amp;L'!BF8*Assumptions!B45/30</f>
        <v/>
      </c>
      <c r="BG13" s="156">
        <f>'Consolidated P&amp;L'!BG8*Assumptions!B45/30</f>
        <v/>
      </c>
      <c r="BH13" s="156">
        <f>'Consolidated P&amp;L'!BH8*Assumptions!B45/30</f>
        <v/>
      </c>
      <c r="BI13" s="156">
        <f>'Consolidated P&amp;L'!BI8*Assumptions!B45/30</f>
        <v/>
      </c>
      <c r="BJ13" s="156">
        <f>'Consolidated P&amp;L'!BJ8*Assumptions!B45/30</f>
        <v/>
      </c>
      <c r="BL13" s="157">
        <f>N13</f>
        <v/>
      </c>
      <c r="BM13" s="157">
        <f>Z13</f>
        <v/>
      </c>
      <c r="BN13" s="157">
        <f>AL13</f>
        <v/>
      </c>
      <c r="BO13" s="157">
        <f>AX13</f>
        <v/>
      </c>
      <c r="BP13" s="157">
        <f>BJ13</f>
        <v/>
      </c>
    </row>
    <row r="14" ht="15" customHeight="1" s="104">
      <c r="A14" s="231" t="inlineStr">
        <is>
          <t xml:space="preserve">    DPO (days)</t>
        </is>
      </c>
      <c r="C14" s="232">
        <f>IF('Consolidated P&amp;L'!C8=0,0,C13/'Consolidated P&amp;L'!C8*30)</f>
        <v/>
      </c>
      <c r="D14" s="232">
        <f>IF('Consolidated P&amp;L'!D8=0,0,D13/'Consolidated P&amp;L'!D8*30)</f>
        <v/>
      </c>
      <c r="E14" s="232">
        <f>IF('Consolidated P&amp;L'!E8=0,0,E13/'Consolidated P&amp;L'!E8*30)</f>
        <v/>
      </c>
      <c r="F14" s="232">
        <f>IF('Consolidated P&amp;L'!F8=0,0,F13/'Consolidated P&amp;L'!F8*30)</f>
        <v/>
      </c>
      <c r="G14" s="232">
        <f>IF('Consolidated P&amp;L'!G8=0,0,G13/'Consolidated P&amp;L'!G8*30)</f>
        <v/>
      </c>
      <c r="H14" s="232">
        <f>IF('Consolidated P&amp;L'!H8=0,0,H13/'Consolidated P&amp;L'!H8*30)</f>
        <v/>
      </c>
      <c r="I14" s="232">
        <f>IF('Consolidated P&amp;L'!I8=0,0,I13/'Consolidated P&amp;L'!I8*30)</f>
        <v/>
      </c>
      <c r="J14" s="232">
        <f>IF('Consolidated P&amp;L'!J8=0,0,J13/'Consolidated P&amp;L'!J8*30)</f>
        <v/>
      </c>
      <c r="K14" s="232">
        <f>IF('Consolidated P&amp;L'!K8=0,0,K13/'Consolidated P&amp;L'!K8*30)</f>
        <v/>
      </c>
      <c r="L14" s="232">
        <f>IF('Consolidated P&amp;L'!L8=0,0,L13/'Consolidated P&amp;L'!L8*30)</f>
        <v/>
      </c>
      <c r="M14" s="232">
        <f>IF('Consolidated P&amp;L'!M8=0,0,M13/'Consolidated P&amp;L'!M8*30)</f>
        <v/>
      </c>
      <c r="N14" s="232">
        <f>IF('Consolidated P&amp;L'!N8=0,0,N13/'Consolidated P&amp;L'!N8*30)</f>
        <v/>
      </c>
      <c r="O14" s="232">
        <f>IF('Consolidated P&amp;L'!O8=0,0,O13/'Consolidated P&amp;L'!O8*30)</f>
        <v/>
      </c>
      <c r="P14" s="232">
        <f>IF('Consolidated P&amp;L'!P8=0,0,P13/'Consolidated P&amp;L'!P8*30)</f>
        <v/>
      </c>
      <c r="Q14" s="232">
        <f>IF('Consolidated P&amp;L'!Q8=0,0,Q13/'Consolidated P&amp;L'!Q8*30)</f>
        <v/>
      </c>
      <c r="R14" s="232">
        <f>IF('Consolidated P&amp;L'!R8=0,0,R13/'Consolidated P&amp;L'!R8*30)</f>
        <v/>
      </c>
      <c r="S14" s="232">
        <f>IF('Consolidated P&amp;L'!S8=0,0,S13/'Consolidated P&amp;L'!S8*30)</f>
        <v/>
      </c>
      <c r="T14" s="232">
        <f>IF('Consolidated P&amp;L'!T8=0,0,T13/'Consolidated P&amp;L'!T8*30)</f>
        <v/>
      </c>
      <c r="U14" s="232">
        <f>IF('Consolidated P&amp;L'!U8=0,0,U13/'Consolidated P&amp;L'!U8*30)</f>
        <v/>
      </c>
      <c r="V14" s="232">
        <f>IF('Consolidated P&amp;L'!V8=0,0,V13/'Consolidated P&amp;L'!V8*30)</f>
        <v/>
      </c>
      <c r="W14" s="232">
        <f>IF('Consolidated P&amp;L'!W8=0,0,W13/'Consolidated P&amp;L'!W8*30)</f>
        <v/>
      </c>
      <c r="X14" s="232">
        <f>IF('Consolidated P&amp;L'!X8=0,0,X13/'Consolidated P&amp;L'!X8*30)</f>
        <v/>
      </c>
      <c r="Y14" s="232">
        <f>IF('Consolidated P&amp;L'!Y8=0,0,Y13/'Consolidated P&amp;L'!Y8*30)</f>
        <v/>
      </c>
      <c r="Z14" s="232">
        <f>IF('Consolidated P&amp;L'!Z8=0,0,Z13/'Consolidated P&amp;L'!Z8*30)</f>
        <v/>
      </c>
      <c r="AA14" s="232">
        <f>IF('Consolidated P&amp;L'!AA8=0,0,AA13/'Consolidated P&amp;L'!AA8*30)</f>
        <v/>
      </c>
      <c r="AB14" s="232">
        <f>IF('Consolidated P&amp;L'!AB8=0,0,AB13/'Consolidated P&amp;L'!AB8*30)</f>
        <v/>
      </c>
      <c r="AC14" s="232">
        <f>IF('Consolidated P&amp;L'!AC8=0,0,AC13/'Consolidated P&amp;L'!AC8*30)</f>
        <v/>
      </c>
      <c r="AD14" s="232">
        <f>IF('Consolidated P&amp;L'!AD8=0,0,AD13/'Consolidated P&amp;L'!AD8*30)</f>
        <v/>
      </c>
      <c r="AE14" s="232">
        <f>IF('Consolidated P&amp;L'!AE8=0,0,AE13/'Consolidated P&amp;L'!AE8*30)</f>
        <v/>
      </c>
      <c r="AF14" s="232">
        <f>IF('Consolidated P&amp;L'!AF8=0,0,AF13/'Consolidated P&amp;L'!AF8*30)</f>
        <v/>
      </c>
      <c r="AG14" s="232">
        <f>IF('Consolidated P&amp;L'!AG8=0,0,AG13/'Consolidated P&amp;L'!AG8*30)</f>
        <v/>
      </c>
      <c r="AH14" s="232">
        <f>IF('Consolidated P&amp;L'!AH8=0,0,AH13/'Consolidated P&amp;L'!AH8*30)</f>
        <v/>
      </c>
      <c r="AI14" s="232">
        <f>IF('Consolidated P&amp;L'!AI8=0,0,AI13/'Consolidated P&amp;L'!AI8*30)</f>
        <v/>
      </c>
      <c r="AJ14" s="232">
        <f>IF('Consolidated P&amp;L'!AJ8=0,0,AJ13/'Consolidated P&amp;L'!AJ8*30)</f>
        <v/>
      </c>
      <c r="AK14" s="232">
        <f>IF('Consolidated P&amp;L'!AK8=0,0,AK13/'Consolidated P&amp;L'!AK8*30)</f>
        <v/>
      </c>
      <c r="AL14" s="232">
        <f>IF('Consolidated P&amp;L'!AL8=0,0,AL13/'Consolidated P&amp;L'!AL8*30)</f>
        <v/>
      </c>
      <c r="AM14" s="232">
        <f>IF('Consolidated P&amp;L'!AM8=0,0,AM13/'Consolidated P&amp;L'!AM8*30)</f>
        <v/>
      </c>
      <c r="AN14" s="232">
        <f>IF('Consolidated P&amp;L'!AN8=0,0,AN13/'Consolidated P&amp;L'!AN8*30)</f>
        <v/>
      </c>
      <c r="AO14" s="232">
        <f>IF('Consolidated P&amp;L'!AO8=0,0,AO13/'Consolidated P&amp;L'!AO8*30)</f>
        <v/>
      </c>
      <c r="AP14" s="232">
        <f>IF('Consolidated P&amp;L'!AP8=0,0,AP13/'Consolidated P&amp;L'!AP8*30)</f>
        <v/>
      </c>
      <c r="AQ14" s="232">
        <f>IF('Consolidated P&amp;L'!AQ8=0,0,AQ13/'Consolidated P&amp;L'!AQ8*30)</f>
        <v/>
      </c>
      <c r="AR14" s="232">
        <f>IF('Consolidated P&amp;L'!AR8=0,0,AR13/'Consolidated P&amp;L'!AR8*30)</f>
        <v/>
      </c>
      <c r="AS14" s="232">
        <f>IF('Consolidated P&amp;L'!AS8=0,0,AS13/'Consolidated P&amp;L'!AS8*30)</f>
        <v/>
      </c>
      <c r="AT14" s="232">
        <f>IF('Consolidated P&amp;L'!AT8=0,0,AT13/'Consolidated P&amp;L'!AT8*30)</f>
        <v/>
      </c>
      <c r="AU14" s="232">
        <f>IF('Consolidated P&amp;L'!AU8=0,0,AU13/'Consolidated P&amp;L'!AU8*30)</f>
        <v/>
      </c>
      <c r="AV14" s="232">
        <f>IF('Consolidated P&amp;L'!AV8=0,0,AV13/'Consolidated P&amp;L'!AV8*30)</f>
        <v/>
      </c>
      <c r="AW14" s="232">
        <f>IF('Consolidated P&amp;L'!AW8=0,0,AW13/'Consolidated P&amp;L'!AW8*30)</f>
        <v/>
      </c>
      <c r="AX14" s="232">
        <f>IF('Consolidated P&amp;L'!AX8=0,0,AX13/'Consolidated P&amp;L'!AX8*30)</f>
        <v/>
      </c>
      <c r="AY14" s="232">
        <f>IF('Consolidated P&amp;L'!AY8=0,0,AY13/'Consolidated P&amp;L'!AY8*30)</f>
        <v/>
      </c>
      <c r="AZ14" s="232">
        <f>IF('Consolidated P&amp;L'!AZ8=0,0,AZ13/'Consolidated P&amp;L'!AZ8*30)</f>
        <v/>
      </c>
      <c r="BA14" s="232">
        <f>IF('Consolidated P&amp;L'!BA8=0,0,BA13/'Consolidated P&amp;L'!BA8*30)</f>
        <v/>
      </c>
      <c r="BB14" s="232">
        <f>IF('Consolidated P&amp;L'!BB8=0,0,BB13/'Consolidated P&amp;L'!BB8*30)</f>
        <v/>
      </c>
      <c r="BC14" s="232">
        <f>IF('Consolidated P&amp;L'!BC8=0,0,BC13/'Consolidated P&amp;L'!BC8*30)</f>
        <v/>
      </c>
      <c r="BD14" s="232">
        <f>IF('Consolidated P&amp;L'!BD8=0,0,BD13/'Consolidated P&amp;L'!BD8*30)</f>
        <v/>
      </c>
      <c r="BE14" s="232">
        <f>IF('Consolidated P&amp;L'!BE8=0,0,BE13/'Consolidated P&amp;L'!BE8*30)</f>
        <v/>
      </c>
      <c r="BF14" s="232">
        <f>IF('Consolidated P&amp;L'!BF8=0,0,BF13/'Consolidated P&amp;L'!BF8*30)</f>
        <v/>
      </c>
      <c r="BG14" s="232">
        <f>IF('Consolidated P&amp;L'!BG8=0,0,BG13/'Consolidated P&amp;L'!BG8*30)</f>
        <v/>
      </c>
      <c r="BH14" s="232">
        <f>IF('Consolidated P&amp;L'!BH8=0,0,BH13/'Consolidated P&amp;L'!BH8*30)</f>
        <v/>
      </c>
      <c r="BI14" s="232">
        <f>IF('Consolidated P&amp;L'!BI8=0,0,BI13/'Consolidated P&amp;L'!BI8*30)</f>
        <v/>
      </c>
      <c r="BJ14" s="232">
        <f>IF('Consolidated P&amp;L'!BJ8=0,0,BJ13/'Consolidated P&amp;L'!BJ8*30)</f>
        <v/>
      </c>
    </row>
    <row r="15" ht="15" customHeight="1" s="104">
      <c r="A15" s="107" t="inlineStr">
        <is>
          <t>Accrued Liabilities</t>
        </is>
      </c>
      <c r="C15" s="156">
        <f>'Consolidated P&amp;L'!C6*Assumptions!B46</f>
        <v/>
      </c>
      <c r="D15" s="156">
        <f>'Consolidated P&amp;L'!D6*Assumptions!B46</f>
        <v/>
      </c>
      <c r="E15" s="156">
        <f>'Consolidated P&amp;L'!E6*Assumptions!B46</f>
        <v/>
      </c>
      <c r="F15" s="156">
        <f>'Consolidated P&amp;L'!F6*Assumptions!B46</f>
        <v/>
      </c>
      <c r="G15" s="156">
        <f>'Consolidated P&amp;L'!G6*Assumptions!B46</f>
        <v/>
      </c>
      <c r="H15" s="156">
        <f>'Consolidated P&amp;L'!H6*Assumptions!B46</f>
        <v/>
      </c>
      <c r="I15" s="156">
        <f>'Consolidated P&amp;L'!I6*Assumptions!B46</f>
        <v/>
      </c>
      <c r="J15" s="156">
        <f>'Consolidated P&amp;L'!J6*Assumptions!B46</f>
        <v/>
      </c>
      <c r="K15" s="156">
        <f>'Consolidated P&amp;L'!K6*Assumptions!B46</f>
        <v/>
      </c>
      <c r="L15" s="156">
        <f>'Consolidated P&amp;L'!L6*Assumptions!B46</f>
        <v/>
      </c>
      <c r="M15" s="156">
        <f>'Consolidated P&amp;L'!M6*Assumptions!B46</f>
        <v/>
      </c>
      <c r="N15" s="156">
        <f>'Consolidated P&amp;L'!N6*Assumptions!B46</f>
        <v/>
      </c>
      <c r="O15" s="156">
        <f>'Consolidated P&amp;L'!O6*Assumptions!B46</f>
        <v/>
      </c>
      <c r="P15" s="156">
        <f>'Consolidated P&amp;L'!P6*Assumptions!B46</f>
        <v/>
      </c>
      <c r="Q15" s="156">
        <f>'Consolidated P&amp;L'!Q6*Assumptions!B46</f>
        <v/>
      </c>
      <c r="R15" s="156">
        <f>'Consolidated P&amp;L'!R6*Assumptions!B46</f>
        <v/>
      </c>
      <c r="S15" s="156">
        <f>'Consolidated P&amp;L'!S6*Assumptions!B46</f>
        <v/>
      </c>
      <c r="T15" s="156">
        <f>'Consolidated P&amp;L'!T6*Assumptions!B46</f>
        <v/>
      </c>
      <c r="U15" s="156">
        <f>'Consolidated P&amp;L'!U6*Assumptions!B46</f>
        <v/>
      </c>
      <c r="V15" s="156">
        <f>'Consolidated P&amp;L'!V6*Assumptions!B46</f>
        <v/>
      </c>
      <c r="W15" s="156">
        <f>'Consolidated P&amp;L'!W6*Assumptions!B46</f>
        <v/>
      </c>
      <c r="X15" s="156">
        <f>'Consolidated P&amp;L'!X6*Assumptions!B46</f>
        <v/>
      </c>
      <c r="Y15" s="156">
        <f>'Consolidated P&amp;L'!Y6*Assumptions!B46</f>
        <v/>
      </c>
      <c r="Z15" s="156">
        <f>'Consolidated P&amp;L'!Z6*Assumptions!B46</f>
        <v/>
      </c>
      <c r="AA15" s="156">
        <f>'Consolidated P&amp;L'!AA6*Assumptions!B46</f>
        <v/>
      </c>
      <c r="AB15" s="156">
        <f>'Consolidated P&amp;L'!AB6*Assumptions!B46</f>
        <v/>
      </c>
      <c r="AC15" s="156">
        <f>'Consolidated P&amp;L'!AC6*Assumptions!B46</f>
        <v/>
      </c>
      <c r="AD15" s="156">
        <f>'Consolidated P&amp;L'!AD6*Assumptions!B46</f>
        <v/>
      </c>
      <c r="AE15" s="156">
        <f>'Consolidated P&amp;L'!AE6*Assumptions!B46</f>
        <v/>
      </c>
      <c r="AF15" s="156">
        <f>'Consolidated P&amp;L'!AF6*Assumptions!B46</f>
        <v/>
      </c>
      <c r="AG15" s="156">
        <f>'Consolidated P&amp;L'!AG6*Assumptions!B46</f>
        <v/>
      </c>
      <c r="AH15" s="156">
        <f>'Consolidated P&amp;L'!AH6*Assumptions!B46</f>
        <v/>
      </c>
      <c r="AI15" s="156">
        <f>'Consolidated P&amp;L'!AI6*Assumptions!B46</f>
        <v/>
      </c>
      <c r="AJ15" s="156">
        <f>'Consolidated P&amp;L'!AJ6*Assumptions!B46</f>
        <v/>
      </c>
      <c r="AK15" s="156">
        <f>'Consolidated P&amp;L'!AK6*Assumptions!B46</f>
        <v/>
      </c>
      <c r="AL15" s="156">
        <f>'Consolidated P&amp;L'!AL6*Assumptions!B46</f>
        <v/>
      </c>
      <c r="AM15" s="156">
        <f>'Consolidated P&amp;L'!AM6*Assumptions!B46</f>
        <v/>
      </c>
      <c r="AN15" s="156">
        <f>'Consolidated P&amp;L'!AN6*Assumptions!B46</f>
        <v/>
      </c>
      <c r="AO15" s="156">
        <f>'Consolidated P&amp;L'!AO6*Assumptions!B46</f>
        <v/>
      </c>
      <c r="AP15" s="156">
        <f>'Consolidated P&amp;L'!AP6*Assumptions!B46</f>
        <v/>
      </c>
      <c r="AQ15" s="156">
        <f>'Consolidated P&amp;L'!AQ6*Assumptions!B46</f>
        <v/>
      </c>
      <c r="AR15" s="156">
        <f>'Consolidated P&amp;L'!AR6*Assumptions!B46</f>
        <v/>
      </c>
      <c r="AS15" s="156">
        <f>'Consolidated P&amp;L'!AS6*Assumptions!B46</f>
        <v/>
      </c>
      <c r="AT15" s="156">
        <f>'Consolidated P&amp;L'!AT6*Assumptions!B46</f>
        <v/>
      </c>
      <c r="AU15" s="156">
        <f>'Consolidated P&amp;L'!AU6*Assumptions!B46</f>
        <v/>
      </c>
      <c r="AV15" s="156">
        <f>'Consolidated P&amp;L'!AV6*Assumptions!B46</f>
        <v/>
      </c>
      <c r="AW15" s="156">
        <f>'Consolidated P&amp;L'!AW6*Assumptions!B46</f>
        <v/>
      </c>
      <c r="AX15" s="156">
        <f>'Consolidated P&amp;L'!AX6*Assumptions!B46</f>
        <v/>
      </c>
      <c r="AY15" s="156">
        <f>'Consolidated P&amp;L'!AY6*Assumptions!B46</f>
        <v/>
      </c>
      <c r="AZ15" s="156">
        <f>'Consolidated P&amp;L'!AZ6*Assumptions!B46</f>
        <v/>
      </c>
      <c r="BA15" s="156">
        <f>'Consolidated P&amp;L'!BA6*Assumptions!B46</f>
        <v/>
      </c>
      <c r="BB15" s="156">
        <f>'Consolidated P&amp;L'!BB6*Assumptions!B46</f>
        <v/>
      </c>
      <c r="BC15" s="156">
        <f>'Consolidated P&amp;L'!BC6*Assumptions!B46</f>
        <v/>
      </c>
      <c r="BD15" s="156">
        <f>'Consolidated P&amp;L'!BD6*Assumptions!B46</f>
        <v/>
      </c>
      <c r="BE15" s="156">
        <f>'Consolidated P&amp;L'!BE6*Assumptions!B46</f>
        <v/>
      </c>
      <c r="BF15" s="156">
        <f>'Consolidated P&amp;L'!BF6*Assumptions!B46</f>
        <v/>
      </c>
      <c r="BG15" s="156">
        <f>'Consolidated P&amp;L'!BG6*Assumptions!B46</f>
        <v/>
      </c>
      <c r="BH15" s="156">
        <f>'Consolidated P&amp;L'!BH6*Assumptions!B46</f>
        <v/>
      </c>
      <c r="BI15" s="156">
        <f>'Consolidated P&amp;L'!BI6*Assumptions!B46</f>
        <v/>
      </c>
      <c r="BJ15" s="156">
        <f>'Consolidated P&amp;L'!BJ6*Assumptions!B46</f>
        <v/>
      </c>
      <c r="BL15" s="157">
        <f>N15</f>
        <v/>
      </c>
      <c r="BM15" s="157">
        <f>Z15</f>
        <v/>
      </c>
      <c r="BN15" s="157">
        <f>AL15</f>
        <v/>
      </c>
      <c r="BO15" s="157">
        <f>AX15</f>
        <v/>
      </c>
      <c r="BP15" s="157">
        <f>BJ15</f>
        <v/>
      </c>
    </row>
    <row r="16" ht="15" customHeight="1" s="104">
      <c r="A16" s="116" t="inlineStr">
        <is>
          <t>Total Current Liabilities (WC)</t>
        </is>
      </c>
      <c r="C16" s="151">
        <f>C13+C15</f>
        <v/>
      </c>
      <c r="D16" s="151">
        <f>D13+D15</f>
        <v/>
      </c>
      <c r="E16" s="151">
        <f>E13+E15</f>
        <v/>
      </c>
      <c r="F16" s="151">
        <f>F13+F15</f>
        <v/>
      </c>
      <c r="G16" s="151">
        <f>G13+G15</f>
        <v/>
      </c>
      <c r="H16" s="151">
        <f>H13+H15</f>
        <v/>
      </c>
      <c r="I16" s="151">
        <f>I13+I15</f>
        <v/>
      </c>
      <c r="J16" s="151">
        <f>J13+J15</f>
        <v/>
      </c>
      <c r="K16" s="151">
        <f>K13+K15</f>
        <v/>
      </c>
      <c r="L16" s="151">
        <f>L13+L15</f>
        <v/>
      </c>
      <c r="M16" s="151">
        <f>M13+M15</f>
        <v/>
      </c>
      <c r="N16" s="151">
        <f>N13+N15</f>
        <v/>
      </c>
      <c r="O16" s="151">
        <f>O13+O15</f>
        <v/>
      </c>
      <c r="P16" s="151">
        <f>P13+P15</f>
        <v/>
      </c>
      <c r="Q16" s="151">
        <f>Q13+Q15</f>
        <v/>
      </c>
      <c r="R16" s="151">
        <f>R13+R15</f>
        <v/>
      </c>
      <c r="S16" s="151">
        <f>S13+S15</f>
        <v/>
      </c>
      <c r="T16" s="151">
        <f>T13+T15</f>
        <v/>
      </c>
      <c r="U16" s="151">
        <f>U13+U15</f>
        <v/>
      </c>
      <c r="V16" s="151">
        <f>V13+V15</f>
        <v/>
      </c>
      <c r="W16" s="151">
        <f>W13+W15</f>
        <v/>
      </c>
      <c r="X16" s="151">
        <f>X13+X15</f>
        <v/>
      </c>
      <c r="Y16" s="151">
        <f>Y13+Y15</f>
        <v/>
      </c>
      <c r="Z16" s="151">
        <f>Z13+Z15</f>
        <v/>
      </c>
      <c r="AA16" s="151">
        <f>AA13+AA15</f>
        <v/>
      </c>
      <c r="AB16" s="151">
        <f>AB13+AB15</f>
        <v/>
      </c>
      <c r="AC16" s="151">
        <f>AC13+AC15</f>
        <v/>
      </c>
      <c r="AD16" s="151">
        <f>AD13+AD15</f>
        <v/>
      </c>
      <c r="AE16" s="151">
        <f>AE13+AE15</f>
        <v/>
      </c>
      <c r="AF16" s="151">
        <f>AF13+AF15</f>
        <v/>
      </c>
      <c r="AG16" s="151">
        <f>AG13+AG15</f>
        <v/>
      </c>
      <c r="AH16" s="151">
        <f>AH13+AH15</f>
        <v/>
      </c>
      <c r="AI16" s="151">
        <f>AI13+AI15</f>
        <v/>
      </c>
      <c r="AJ16" s="151">
        <f>AJ13+AJ15</f>
        <v/>
      </c>
      <c r="AK16" s="151">
        <f>AK13+AK15</f>
        <v/>
      </c>
      <c r="AL16" s="151">
        <f>AL13+AL15</f>
        <v/>
      </c>
      <c r="AM16" s="151">
        <f>AM13+AM15</f>
        <v/>
      </c>
      <c r="AN16" s="151">
        <f>AN13+AN15</f>
        <v/>
      </c>
      <c r="AO16" s="151">
        <f>AO13+AO15</f>
        <v/>
      </c>
      <c r="AP16" s="151">
        <f>AP13+AP15</f>
        <v/>
      </c>
      <c r="AQ16" s="151">
        <f>AQ13+AQ15</f>
        <v/>
      </c>
      <c r="AR16" s="151">
        <f>AR13+AR15</f>
        <v/>
      </c>
      <c r="AS16" s="151">
        <f>AS13+AS15</f>
        <v/>
      </c>
      <c r="AT16" s="151">
        <f>AT13+AT15</f>
        <v/>
      </c>
      <c r="AU16" s="151">
        <f>AU13+AU15</f>
        <v/>
      </c>
      <c r="AV16" s="151">
        <f>AV13+AV15</f>
        <v/>
      </c>
      <c r="AW16" s="151">
        <f>AW13+AW15</f>
        <v/>
      </c>
      <c r="AX16" s="151">
        <f>AX13+AX15</f>
        <v/>
      </c>
      <c r="AY16" s="151">
        <f>AY13+AY15</f>
        <v/>
      </c>
      <c r="AZ16" s="151">
        <f>AZ13+AZ15</f>
        <v/>
      </c>
      <c r="BA16" s="151">
        <f>BA13+BA15</f>
        <v/>
      </c>
      <c r="BB16" s="151">
        <f>BB13+BB15</f>
        <v/>
      </c>
      <c r="BC16" s="151">
        <f>BC13+BC15</f>
        <v/>
      </c>
      <c r="BD16" s="151">
        <f>BD13+BD15</f>
        <v/>
      </c>
      <c r="BE16" s="151">
        <f>BE13+BE15</f>
        <v/>
      </c>
      <c r="BF16" s="151">
        <f>BF13+BF15</f>
        <v/>
      </c>
      <c r="BG16" s="151">
        <f>BG13+BG15</f>
        <v/>
      </c>
      <c r="BH16" s="151">
        <f>BH13+BH15</f>
        <v/>
      </c>
      <c r="BI16" s="151">
        <f>BI13+BI15</f>
        <v/>
      </c>
      <c r="BJ16" s="151">
        <f>BJ13+BJ15</f>
        <v/>
      </c>
      <c r="BL16" s="152">
        <f>N16</f>
        <v/>
      </c>
      <c r="BM16" s="152">
        <f>Z16</f>
        <v/>
      </c>
      <c r="BN16" s="152">
        <f>AL16</f>
        <v/>
      </c>
      <c r="BO16" s="152">
        <f>AX16</f>
        <v/>
      </c>
      <c r="BP16" s="152">
        <f>BJ16</f>
        <v/>
      </c>
    </row>
    <row r="18" ht="15" customHeight="1" s="104">
      <c r="A18" s="106" t="inlineStr">
        <is>
          <t>NET WORKING CAPITAL</t>
        </is>
      </c>
    </row>
    <row r="19" ht="15" customHeight="1" s="104">
      <c r="A19" s="116" t="inlineStr">
        <is>
          <t>Net Working Capital</t>
        </is>
      </c>
      <c r="C19" s="151">
        <f>C10-C16</f>
        <v/>
      </c>
      <c r="D19" s="151">
        <f>D10-D16</f>
        <v/>
      </c>
      <c r="E19" s="151">
        <f>E10-E16</f>
        <v/>
      </c>
      <c r="F19" s="151">
        <f>F10-F16</f>
        <v/>
      </c>
      <c r="G19" s="151">
        <f>G10-G16</f>
        <v/>
      </c>
      <c r="H19" s="151">
        <f>H10-H16</f>
        <v/>
      </c>
      <c r="I19" s="151">
        <f>I10-I16</f>
        <v/>
      </c>
      <c r="J19" s="151">
        <f>J10-J16</f>
        <v/>
      </c>
      <c r="K19" s="151">
        <f>K10-K16</f>
        <v/>
      </c>
      <c r="L19" s="151">
        <f>L10-L16</f>
        <v/>
      </c>
      <c r="M19" s="151">
        <f>M10-M16</f>
        <v/>
      </c>
      <c r="N19" s="151">
        <f>N10-N16</f>
        <v/>
      </c>
      <c r="O19" s="151">
        <f>O10-O16</f>
        <v/>
      </c>
      <c r="P19" s="151">
        <f>P10-P16</f>
        <v/>
      </c>
      <c r="Q19" s="151">
        <f>Q10-Q16</f>
        <v/>
      </c>
      <c r="R19" s="151">
        <f>R10-R16</f>
        <v/>
      </c>
      <c r="S19" s="151">
        <f>S10-S16</f>
        <v/>
      </c>
      <c r="T19" s="151">
        <f>T10-T16</f>
        <v/>
      </c>
      <c r="U19" s="151">
        <f>U10-U16</f>
        <v/>
      </c>
      <c r="V19" s="151">
        <f>V10-V16</f>
        <v/>
      </c>
      <c r="W19" s="151">
        <f>W10-W16</f>
        <v/>
      </c>
      <c r="X19" s="151">
        <f>X10-X16</f>
        <v/>
      </c>
      <c r="Y19" s="151">
        <f>Y10-Y16</f>
        <v/>
      </c>
      <c r="Z19" s="151">
        <f>Z10-Z16</f>
        <v/>
      </c>
      <c r="AA19" s="151">
        <f>AA10-AA16</f>
        <v/>
      </c>
      <c r="AB19" s="151">
        <f>AB10-AB16</f>
        <v/>
      </c>
      <c r="AC19" s="151">
        <f>AC10-AC16</f>
        <v/>
      </c>
      <c r="AD19" s="151">
        <f>AD10-AD16</f>
        <v/>
      </c>
      <c r="AE19" s="151">
        <f>AE10-AE16</f>
        <v/>
      </c>
      <c r="AF19" s="151">
        <f>AF10-AF16</f>
        <v/>
      </c>
      <c r="AG19" s="151">
        <f>AG10-AG16</f>
        <v/>
      </c>
      <c r="AH19" s="151">
        <f>AH10-AH16</f>
        <v/>
      </c>
      <c r="AI19" s="151">
        <f>AI10-AI16</f>
        <v/>
      </c>
      <c r="AJ19" s="151">
        <f>AJ10-AJ16</f>
        <v/>
      </c>
      <c r="AK19" s="151">
        <f>AK10-AK16</f>
        <v/>
      </c>
      <c r="AL19" s="151">
        <f>AL10-AL16</f>
        <v/>
      </c>
      <c r="AM19" s="151">
        <f>AM10-AM16</f>
        <v/>
      </c>
      <c r="AN19" s="151">
        <f>AN10-AN16</f>
        <v/>
      </c>
      <c r="AO19" s="151">
        <f>AO10-AO16</f>
        <v/>
      </c>
      <c r="AP19" s="151">
        <f>AP10-AP16</f>
        <v/>
      </c>
      <c r="AQ19" s="151">
        <f>AQ10-AQ16</f>
        <v/>
      </c>
      <c r="AR19" s="151">
        <f>AR10-AR16</f>
        <v/>
      </c>
      <c r="AS19" s="151">
        <f>AS10-AS16</f>
        <v/>
      </c>
      <c r="AT19" s="151">
        <f>AT10-AT16</f>
        <v/>
      </c>
      <c r="AU19" s="151">
        <f>AU10-AU16</f>
        <v/>
      </c>
      <c r="AV19" s="151">
        <f>AV10-AV16</f>
        <v/>
      </c>
      <c r="AW19" s="151">
        <f>AW10-AW16</f>
        <v/>
      </c>
      <c r="AX19" s="151">
        <f>AX10-AX16</f>
        <v/>
      </c>
      <c r="AY19" s="151">
        <f>AY10-AY16</f>
        <v/>
      </c>
      <c r="AZ19" s="151">
        <f>AZ10-AZ16</f>
        <v/>
      </c>
      <c r="BA19" s="151">
        <f>BA10-BA16</f>
        <v/>
      </c>
      <c r="BB19" s="151">
        <f>BB10-BB16</f>
        <v/>
      </c>
      <c r="BC19" s="151">
        <f>BC10-BC16</f>
        <v/>
      </c>
      <c r="BD19" s="151">
        <f>BD10-BD16</f>
        <v/>
      </c>
      <c r="BE19" s="151">
        <f>BE10-BE16</f>
        <v/>
      </c>
      <c r="BF19" s="151">
        <f>BF10-BF16</f>
        <v/>
      </c>
      <c r="BG19" s="151">
        <f>BG10-BG16</f>
        <v/>
      </c>
      <c r="BH19" s="151">
        <f>BH10-BH16</f>
        <v/>
      </c>
      <c r="BI19" s="151">
        <f>BI10-BI16</f>
        <v/>
      </c>
      <c r="BJ19" s="151">
        <f>BJ10-BJ16</f>
        <v/>
      </c>
      <c r="BL19" s="152">
        <f>N19</f>
        <v/>
      </c>
      <c r="BM19" s="152">
        <f>Z19</f>
        <v/>
      </c>
      <c r="BN19" s="152">
        <f>AL19</f>
        <v/>
      </c>
      <c r="BO19" s="152">
        <f>AX19</f>
        <v/>
      </c>
      <c r="BP19" s="152">
        <f>BJ19</f>
        <v/>
      </c>
    </row>
    <row r="20" ht="15" customHeight="1" s="104">
      <c r="A20" s="107" t="inlineStr">
        <is>
          <t xml:space="preserve">    Change in NWC</t>
        </is>
      </c>
      <c r="C20" s="156">
        <f>C19</f>
        <v/>
      </c>
      <c r="D20" s="156">
        <f>D19-C19</f>
        <v/>
      </c>
      <c r="E20" s="156">
        <f>E19-D19</f>
        <v/>
      </c>
      <c r="F20" s="156">
        <f>F19-E19</f>
        <v/>
      </c>
      <c r="G20" s="156">
        <f>G19-F19</f>
        <v/>
      </c>
      <c r="H20" s="156">
        <f>H19-G19</f>
        <v/>
      </c>
      <c r="I20" s="156">
        <f>I19-H19</f>
        <v/>
      </c>
      <c r="J20" s="156">
        <f>J19-I19</f>
        <v/>
      </c>
      <c r="K20" s="156">
        <f>K19-J19</f>
        <v/>
      </c>
      <c r="L20" s="156">
        <f>L19-K19</f>
        <v/>
      </c>
      <c r="M20" s="156">
        <f>M19-L19</f>
        <v/>
      </c>
      <c r="N20" s="156">
        <f>N19-M19</f>
        <v/>
      </c>
      <c r="O20" s="156">
        <f>O19-N19</f>
        <v/>
      </c>
      <c r="P20" s="156">
        <f>P19-O19</f>
        <v/>
      </c>
      <c r="Q20" s="156">
        <f>Q19-P19</f>
        <v/>
      </c>
      <c r="R20" s="156">
        <f>R19-Q19</f>
        <v/>
      </c>
      <c r="S20" s="156">
        <f>S19-R19</f>
        <v/>
      </c>
      <c r="T20" s="156">
        <f>T19-S19</f>
        <v/>
      </c>
      <c r="U20" s="156">
        <f>U19-T19</f>
        <v/>
      </c>
      <c r="V20" s="156">
        <f>V19-U19</f>
        <v/>
      </c>
      <c r="W20" s="156">
        <f>W19-V19</f>
        <v/>
      </c>
      <c r="X20" s="156">
        <f>X19-W19</f>
        <v/>
      </c>
      <c r="Y20" s="156">
        <f>Y19-X19</f>
        <v/>
      </c>
      <c r="Z20" s="156">
        <f>Z19-Y19</f>
        <v/>
      </c>
      <c r="AA20" s="156">
        <f>AA19-Z19</f>
        <v/>
      </c>
      <c r="AB20" s="156">
        <f>AB19-AA19</f>
        <v/>
      </c>
      <c r="AC20" s="156">
        <f>AC19-AB19</f>
        <v/>
      </c>
      <c r="AD20" s="156">
        <f>AD19-AC19</f>
        <v/>
      </c>
      <c r="AE20" s="156">
        <f>AE19-AD19</f>
        <v/>
      </c>
      <c r="AF20" s="156">
        <f>AF19-AE19</f>
        <v/>
      </c>
      <c r="AG20" s="156">
        <f>AG19-AF19</f>
        <v/>
      </c>
      <c r="AH20" s="156">
        <f>AH19-AG19</f>
        <v/>
      </c>
      <c r="AI20" s="156">
        <f>AI19-AH19</f>
        <v/>
      </c>
      <c r="AJ20" s="156">
        <f>AJ19-AI19</f>
        <v/>
      </c>
      <c r="AK20" s="156">
        <f>AK19-AJ19</f>
        <v/>
      </c>
      <c r="AL20" s="156">
        <f>AL19-AK19</f>
        <v/>
      </c>
      <c r="AM20" s="156">
        <f>AM19-AL19</f>
        <v/>
      </c>
      <c r="AN20" s="156">
        <f>AN19-AM19</f>
        <v/>
      </c>
      <c r="AO20" s="156">
        <f>AO19-AN19</f>
        <v/>
      </c>
      <c r="AP20" s="156">
        <f>AP19-AO19</f>
        <v/>
      </c>
      <c r="AQ20" s="156">
        <f>AQ19-AP19</f>
        <v/>
      </c>
      <c r="AR20" s="156">
        <f>AR19-AQ19</f>
        <v/>
      </c>
      <c r="AS20" s="156">
        <f>AS19-AR19</f>
        <v/>
      </c>
      <c r="AT20" s="156">
        <f>AT19-AS19</f>
        <v/>
      </c>
      <c r="AU20" s="156">
        <f>AU19-AT19</f>
        <v/>
      </c>
      <c r="AV20" s="156">
        <f>AV19-AU19</f>
        <v/>
      </c>
      <c r="AW20" s="156">
        <f>AW19-AV19</f>
        <v/>
      </c>
      <c r="AX20" s="156">
        <f>AX19-AW19</f>
        <v/>
      </c>
      <c r="AY20" s="156">
        <f>AY19-AX19</f>
        <v/>
      </c>
      <c r="AZ20" s="156">
        <f>AZ19-AY19</f>
        <v/>
      </c>
      <c r="BA20" s="156">
        <f>BA19-AZ19</f>
        <v/>
      </c>
      <c r="BB20" s="156">
        <f>BB19-BA19</f>
        <v/>
      </c>
      <c r="BC20" s="156">
        <f>BC19-BB19</f>
        <v/>
      </c>
      <c r="BD20" s="156">
        <f>BD19-BC19</f>
        <v/>
      </c>
      <c r="BE20" s="156">
        <f>BE19-BD19</f>
        <v/>
      </c>
      <c r="BF20" s="156">
        <f>BF19-BE19</f>
        <v/>
      </c>
      <c r="BG20" s="156">
        <f>BG19-BF19</f>
        <v/>
      </c>
      <c r="BH20" s="156">
        <f>BH19-BG19</f>
        <v/>
      </c>
      <c r="BI20" s="156">
        <f>BI19-BH19</f>
        <v/>
      </c>
      <c r="BJ20" s="156">
        <f>BJ19-BI19</f>
        <v/>
      </c>
      <c r="BL20" s="157">
        <f>C20+D20+E20+F20+G20+H20+I20+J20+K20+L20+M20+N20</f>
        <v/>
      </c>
      <c r="BM20" s="157">
        <f>O20+P20+Q20+R20+S20+T20+U20+V20+W20+X20+Y20+Z20</f>
        <v/>
      </c>
      <c r="BN20" s="157">
        <f>AA20+AB20+AC20+AD20+AE20+AF20+AG20+AH20+AI20+AJ20+AK20+AL20</f>
        <v/>
      </c>
      <c r="BO20" s="157">
        <f>AM20+AN20+AO20+AP20+AQ20+AR20+AS20+AT20+AU20+AV20+AW20+AX20</f>
        <v/>
      </c>
      <c r="BP20" s="157">
        <f>AY20+AZ20+BA20+BB20+BC20+BD20+BE20+BF20+BG20+BH20+BI20+BJ20</f>
        <v/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tabColor rgb="FF375623"/>
    <outlinePr summaryBelow="1" summaryRight="1"/>
    <pageSetUpPr fitToPage="0"/>
  </sheetPr>
  <dimension ref="A1:BQ39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pane xSplit="2" ySplit="4" topLeftCell="BB5" activePane="bottomRight" state="frozen"/>
      <selection pane="topLeft" activeCell="A1" activeCellId="0" sqref="A1"/>
      <selection pane="topRight" activeCell="BB1" activeCellId="0" sqref="BB1"/>
      <selection pane="bottomLeft" activeCell="A5" activeCellId="0" sqref="A5"/>
      <selection pane="bottomRight" activeCell="B5" activeCellId="0" sqref="B5"/>
    </sheetView>
  </sheetViews>
  <sheetFormatPr baseColWidth="8" defaultColWidth="8.71484375" defaultRowHeight="15" zeroHeight="0" outlineLevelRow="0"/>
  <cols>
    <col width="38" customWidth="1" style="103" min="1" max="1"/>
    <col width="9" customWidth="1" style="103" min="3" max="62"/>
    <col width="11" customWidth="1" style="103" min="64" max="68"/>
  </cols>
  <sheetData>
    <row r="1" ht="19.5" customHeight="1" s="104">
      <c r="A1" s="105" t="inlineStr">
        <is>
          <t>Consolidated P&amp;L – All Entities (Monthly, $mm)</t>
        </is>
      </c>
    </row>
    <row r="3" ht="15" customHeight="1" s="104">
      <c r="A3" s="116" t="inlineStr">
        <is>
          <t>($mm)</t>
        </is>
      </c>
      <c r="C3" s="149" t="inlineStr">
        <is>
          <t>Oct-26</t>
        </is>
      </c>
      <c r="D3" s="149" t="inlineStr">
        <is>
          <t>Nov-26</t>
        </is>
      </c>
      <c r="E3" s="149" t="inlineStr">
        <is>
          <t>Dec-26</t>
        </is>
      </c>
      <c r="F3" s="149" t="inlineStr">
        <is>
          <t>Jan-27</t>
        </is>
      </c>
      <c r="G3" s="149" t="inlineStr">
        <is>
          <t>Feb-27</t>
        </is>
      </c>
      <c r="H3" s="149" t="inlineStr">
        <is>
          <t>Mar-27</t>
        </is>
      </c>
      <c r="I3" s="149" t="inlineStr">
        <is>
          <t>Apr-27</t>
        </is>
      </c>
      <c r="J3" s="149" t="inlineStr">
        <is>
          <t>May-27</t>
        </is>
      </c>
      <c r="K3" s="149" t="inlineStr">
        <is>
          <t>Jun-27</t>
        </is>
      </c>
      <c r="L3" s="149" t="inlineStr">
        <is>
          <t>Jul-27</t>
        </is>
      </c>
      <c r="M3" s="149" t="inlineStr">
        <is>
          <t>Aug-27</t>
        </is>
      </c>
      <c r="N3" s="149" t="inlineStr">
        <is>
          <t>Sep-27</t>
        </is>
      </c>
      <c r="O3" s="149" t="inlineStr">
        <is>
          <t>Oct-27</t>
        </is>
      </c>
      <c r="P3" s="149" t="inlineStr">
        <is>
          <t>Nov-27</t>
        </is>
      </c>
      <c r="Q3" s="149" t="inlineStr">
        <is>
          <t>Dec-27</t>
        </is>
      </c>
      <c r="R3" s="149" t="inlineStr">
        <is>
          <t>Jan-28</t>
        </is>
      </c>
      <c r="S3" s="149" t="inlineStr">
        <is>
          <t>Feb-28</t>
        </is>
      </c>
      <c r="T3" s="149" t="inlineStr">
        <is>
          <t>Mar-28</t>
        </is>
      </c>
      <c r="U3" s="149" t="inlineStr">
        <is>
          <t>Apr-28</t>
        </is>
      </c>
      <c r="V3" s="149" t="inlineStr">
        <is>
          <t>May-28</t>
        </is>
      </c>
      <c r="W3" s="149" t="inlineStr">
        <is>
          <t>Jun-28</t>
        </is>
      </c>
      <c r="X3" s="149" t="inlineStr">
        <is>
          <t>Jul-28</t>
        </is>
      </c>
      <c r="Y3" s="149" t="inlineStr">
        <is>
          <t>Aug-28</t>
        </is>
      </c>
      <c r="Z3" s="149" t="inlineStr">
        <is>
          <t>Sep-28</t>
        </is>
      </c>
      <c r="AA3" s="149" t="inlineStr">
        <is>
          <t>Oct-28</t>
        </is>
      </c>
      <c r="AB3" s="149" t="inlineStr">
        <is>
          <t>Nov-28</t>
        </is>
      </c>
      <c r="AC3" s="149" t="inlineStr">
        <is>
          <t>Dec-28</t>
        </is>
      </c>
      <c r="AD3" s="149" t="inlineStr">
        <is>
          <t>Jan-29</t>
        </is>
      </c>
      <c r="AE3" s="149" t="inlineStr">
        <is>
          <t>Feb-29</t>
        </is>
      </c>
      <c r="AF3" s="149" t="inlineStr">
        <is>
          <t>Mar-29</t>
        </is>
      </c>
      <c r="AG3" s="149" t="inlineStr">
        <is>
          <t>Apr-29</t>
        </is>
      </c>
      <c r="AH3" s="149" t="inlineStr">
        <is>
          <t>May-29</t>
        </is>
      </c>
      <c r="AI3" s="149" t="inlineStr">
        <is>
          <t>Jun-29</t>
        </is>
      </c>
      <c r="AJ3" s="149" t="inlineStr">
        <is>
          <t>Jul-29</t>
        </is>
      </c>
      <c r="AK3" s="149" t="inlineStr">
        <is>
          <t>Aug-29</t>
        </is>
      </c>
      <c r="AL3" s="149" t="inlineStr">
        <is>
          <t>Sep-29</t>
        </is>
      </c>
      <c r="AM3" s="149" t="inlineStr">
        <is>
          <t>Oct-29</t>
        </is>
      </c>
      <c r="AN3" s="149" t="inlineStr">
        <is>
          <t>Nov-29</t>
        </is>
      </c>
      <c r="AO3" s="149" t="inlineStr">
        <is>
          <t>Dec-29</t>
        </is>
      </c>
      <c r="AP3" s="149" t="inlineStr">
        <is>
          <t>Jan-30</t>
        </is>
      </c>
      <c r="AQ3" s="149" t="inlineStr">
        <is>
          <t>Feb-30</t>
        </is>
      </c>
      <c r="AR3" s="149" t="inlineStr">
        <is>
          <t>Mar-30</t>
        </is>
      </c>
      <c r="AS3" s="149" t="inlineStr">
        <is>
          <t>Apr-30</t>
        </is>
      </c>
      <c r="AT3" s="149" t="inlineStr">
        <is>
          <t>May-30</t>
        </is>
      </c>
      <c r="AU3" s="149" t="inlineStr">
        <is>
          <t>Jun-30</t>
        </is>
      </c>
      <c r="AV3" s="149" t="inlineStr">
        <is>
          <t>Jul-30</t>
        </is>
      </c>
      <c r="AW3" s="149" t="inlineStr">
        <is>
          <t>Aug-30</t>
        </is>
      </c>
      <c r="AX3" s="149" t="inlineStr">
        <is>
          <t>Sep-30</t>
        </is>
      </c>
      <c r="AY3" s="149" t="inlineStr">
        <is>
          <t>Oct-30</t>
        </is>
      </c>
      <c r="AZ3" s="149" t="inlineStr">
        <is>
          <t>Nov-30</t>
        </is>
      </c>
      <c r="BA3" s="149" t="inlineStr">
        <is>
          <t>Dec-30</t>
        </is>
      </c>
      <c r="BB3" s="149" t="inlineStr">
        <is>
          <t>Jan-31</t>
        </is>
      </c>
      <c r="BC3" s="149" t="inlineStr">
        <is>
          <t>Feb-31</t>
        </is>
      </c>
      <c r="BD3" s="149" t="inlineStr">
        <is>
          <t>Mar-31</t>
        </is>
      </c>
      <c r="BE3" s="149" t="inlineStr">
        <is>
          <t>Apr-31</t>
        </is>
      </c>
      <c r="BF3" s="149" t="inlineStr">
        <is>
          <t>May-31</t>
        </is>
      </c>
      <c r="BG3" s="149" t="inlineStr">
        <is>
          <t>Jun-31</t>
        </is>
      </c>
      <c r="BH3" s="149" t="inlineStr">
        <is>
          <t>Jul-31</t>
        </is>
      </c>
      <c r="BI3" s="149" t="inlineStr">
        <is>
          <t>Aug-31</t>
        </is>
      </c>
      <c r="BJ3" s="149" t="inlineStr">
        <is>
          <t>Sep-31</t>
        </is>
      </c>
      <c r="BL3" s="150" t="inlineStr">
        <is>
          <t>FY1</t>
        </is>
      </c>
      <c r="BM3" s="150" t="inlineStr">
        <is>
          <t>FY2</t>
        </is>
      </c>
      <c r="BN3" s="150" t="inlineStr">
        <is>
          <t>FY3</t>
        </is>
      </c>
      <c r="BO3" s="150" t="inlineStr">
        <is>
          <t>FY4</t>
        </is>
      </c>
      <c r="BP3" s="150" t="inlineStr">
        <is>
          <t>FY5</t>
        </is>
      </c>
    </row>
    <row r="5" ht="15" customHeight="1" s="104">
      <c r="A5" s="106" t="inlineStr">
        <is>
          <t>REVENUE</t>
        </is>
      </c>
    </row>
    <row r="6" ht="15" customHeight="1" s="104">
      <c r="A6" s="116" t="inlineStr">
        <is>
          <t>Total Revenue</t>
        </is>
      </c>
      <c r="C6" s="151">
        <f>'Platform P&amp;L'!C6+'Add-On 1'!C6+'Add-On 2'!C6+'Add-On 3'!C6+'Add-On 4'!C6+'Add-On 5'!C6+'Add-On 6'!C6+'Add-On 7'!C6+'Add-On 8'!C6+'Add-On 9'!C6+'Add-On 10'!C6</f>
        <v/>
      </c>
      <c r="D6" s="151">
        <f>'Platform P&amp;L'!D6+'Add-On 1'!D6+'Add-On 2'!D6+'Add-On 3'!D6+'Add-On 4'!D6+'Add-On 5'!D6+'Add-On 6'!D6+'Add-On 7'!D6+'Add-On 8'!D6+'Add-On 9'!D6+'Add-On 10'!D6</f>
        <v/>
      </c>
      <c r="E6" s="151">
        <f>'Platform P&amp;L'!E6+'Add-On 1'!E6+'Add-On 2'!E6+'Add-On 3'!E6+'Add-On 4'!E6+'Add-On 5'!E6+'Add-On 6'!E6+'Add-On 7'!E6+'Add-On 8'!E6+'Add-On 9'!E6+'Add-On 10'!E6</f>
        <v/>
      </c>
      <c r="F6" s="151">
        <f>'Platform P&amp;L'!F6+'Add-On 1'!F6+'Add-On 2'!F6+'Add-On 3'!F6+'Add-On 4'!F6+'Add-On 5'!F6+'Add-On 6'!F6+'Add-On 7'!F6+'Add-On 8'!F6+'Add-On 9'!F6+'Add-On 10'!F6</f>
        <v/>
      </c>
      <c r="G6" s="151">
        <f>'Platform P&amp;L'!G6+'Add-On 1'!G6+'Add-On 2'!G6+'Add-On 3'!G6+'Add-On 4'!G6+'Add-On 5'!G6+'Add-On 6'!G6+'Add-On 7'!G6+'Add-On 8'!G6+'Add-On 9'!G6+'Add-On 10'!G6</f>
        <v/>
      </c>
      <c r="H6" s="151">
        <f>'Platform P&amp;L'!H6+'Add-On 1'!H6+'Add-On 2'!H6+'Add-On 3'!H6+'Add-On 4'!H6+'Add-On 5'!H6+'Add-On 6'!H6+'Add-On 7'!H6+'Add-On 8'!H6+'Add-On 9'!H6+'Add-On 10'!H6</f>
        <v/>
      </c>
      <c r="I6" s="151">
        <f>'Platform P&amp;L'!I6+'Add-On 1'!I6+'Add-On 2'!I6+'Add-On 3'!I6+'Add-On 4'!I6+'Add-On 5'!I6+'Add-On 6'!I6+'Add-On 7'!I6+'Add-On 8'!I6+'Add-On 9'!I6+'Add-On 10'!I6</f>
        <v/>
      </c>
      <c r="J6" s="151">
        <f>'Platform P&amp;L'!J6+'Add-On 1'!J6+'Add-On 2'!J6+'Add-On 3'!J6+'Add-On 4'!J6+'Add-On 5'!J6+'Add-On 6'!J6+'Add-On 7'!J6+'Add-On 8'!J6+'Add-On 9'!J6+'Add-On 10'!J6</f>
        <v/>
      </c>
      <c r="K6" s="151">
        <f>'Platform P&amp;L'!K6+'Add-On 1'!K6+'Add-On 2'!K6+'Add-On 3'!K6+'Add-On 4'!K6+'Add-On 5'!K6+'Add-On 6'!K6+'Add-On 7'!K6+'Add-On 8'!K6+'Add-On 9'!K6+'Add-On 10'!K6</f>
        <v/>
      </c>
      <c r="L6" s="151">
        <f>'Platform P&amp;L'!L6+'Add-On 1'!L6+'Add-On 2'!L6+'Add-On 3'!L6+'Add-On 4'!L6+'Add-On 5'!L6+'Add-On 6'!L6+'Add-On 7'!L6+'Add-On 8'!L6+'Add-On 9'!L6+'Add-On 10'!L6</f>
        <v/>
      </c>
      <c r="M6" s="151">
        <f>'Platform P&amp;L'!M6+'Add-On 1'!M6+'Add-On 2'!M6+'Add-On 3'!M6+'Add-On 4'!M6+'Add-On 5'!M6+'Add-On 6'!M6+'Add-On 7'!M6+'Add-On 8'!M6+'Add-On 9'!M6+'Add-On 10'!M6</f>
        <v/>
      </c>
      <c r="N6" s="151">
        <f>'Platform P&amp;L'!N6+'Add-On 1'!N6+'Add-On 2'!N6+'Add-On 3'!N6+'Add-On 4'!N6+'Add-On 5'!N6+'Add-On 6'!N6+'Add-On 7'!N6+'Add-On 8'!N6+'Add-On 9'!N6+'Add-On 10'!N6</f>
        <v/>
      </c>
      <c r="O6" s="151">
        <f>'Platform P&amp;L'!O6+'Add-On 1'!O6+'Add-On 2'!O6+'Add-On 3'!O6+'Add-On 4'!O6+'Add-On 5'!O6+'Add-On 6'!O6+'Add-On 7'!O6+'Add-On 8'!O6+'Add-On 9'!O6+'Add-On 10'!O6</f>
        <v/>
      </c>
      <c r="P6" s="151">
        <f>'Platform P&amp;L'!P6+'Add-On 1'!P6+'Add-On 2'!P6+'Add-On 3'!P6+'Add-On 4'!P6+'Add-On 5'!P6+'Add-On 6'!P6+'Add-On 7'!P6+'Add-On 8'!P6+'Add-On 9'!P6+'Add-On 10'!P6</f>
        <v/>
      </c>
      <c r="Q6" s="151">
        <f>'Platform P&amp;L'!Q6+'Add-On 1'!Q6+'Add-On 2'!Q6+'Add-On 3'!Q6+'Add-On 4'!Q6+'Add-On 5'!Q6+'Add-On 6'!Q6+'Add-On 7'!Q6+'Add-On 8'!Q6+'Add-On 9'!Q6+'Add-On 10'!Q6</f>
        <v/>
      </c>
      <c r="R6" s="151">
        <f>'Platform P&amp;L'!R6+'Add-On 1'!R6+'Add-On 2'!R6+'Add-On 3'!R6+'Add-On 4'!R6+'Add-On 5'!R6+'Add-On 6'!R6+'Add-On 7'!R6+'Add-On 8'!R6+'Add-On 9'!R6+'Add-On 10'!R6</f>
        <v/>
      </c>
      <c r="S6" s="151">
        <f>'Platform P&amp;L'!S6+'Add-On 1'!S6+'Add-On 2'!S6+'Add-On 3'!S6+'Add-On 4'!S6+'Add-On 5'!S6+'Add-On 6'!S6+'Add-On 7'!S6+'Add-On 8'!S6+'Add-On 9'!S6+'Add-On 10'!S6</f>
        <v/>
      </c>
      <c r="T6" s="151">
        <f>'Platform P&amp;L'!T6+'Add-On 1'!T6+'Add-On 2'!T6+'Add-On 3'!T6+'Add-On 4'!T6+'Add-On 5'!T6+'Add-On 6'!T6+'Add-On 7'!T6+'Add-On 8'!T6+'Add-On 9'!T6+'Add-On 10'!T6</f>
        <v/>
      </c>
      <c r="U6" s="151">
        <f>'Platform P&amp;L'!U6+'Add-On 1'!U6+'Add-On 2'!U6+'Add-On 3'!U6+'Add-On 4'!U6+'Add-On 5'!U6+'Add-On 6'!U6+'Add-On 7'!U6+'Add-On 8'!U6+'Add-On 9'!U6+'Add-On 10'!U6</f>
        <v/>
      </c>
      <c r="V6" s="151">
        <f>'Platform P&amp;L'!V6+'Add-On 1'!V6+'Add-On 2'!V6+'Add-On 3'!V6+'Add-On 4'!V6+'Add-On 5'!V6+'Add-On 6'!V6+'Add-On 7'!V6+'Add-On 8'!V6+'Add-On 9'!V6+'Add-On 10'!V6</f>
        <v/>
      </c>
      <c r="W6" s="151">
        <f>'Platform P&amp;L'!W6+'Add-On 1'!W6+'Add-On 2'!W6+'Add-On 3'!W6+'Add-On 4'!W6+'Add-On 5'!W6+'Add-On 6'!W6+'Add-On 7'!W6+'Add-On 8'!W6+'Add-On 9'!W6+'Add-On 10'!W6</f>
        <v/>
      </c>
      <c r="X6" s="151">
        <f>'Platform P&amp;L'!X6+'Add-On 1'!X6+'Add-On 2'!X6+'Add-On 3'!X6+'Add-On 4'!X6+'Add-On 5'!X6+'Add-On 6'!X6+'Add-On 7'!X6+'Add-On 8'!X6+'Add-On 9'!X6+'Add-On 10'!X6</f>
        <v/>
      </c>
      <c r="Y6" s="151">
        <f>'Platform P&amp;L'!Y6+'Add-On 1'!Y6+'Add-On 2'!Y6+'Add-On 3'!Y6+'Add-On 4'!Y6+'Add-On 5'!Y6+'Add-On 6'!Y6+'Add-On 7'!Y6+'Add-On 8'!Y6+'Add-On 9'!Y6+'Add-On 10'!Y6</f>
        <v/>
      </c>
      <c r="Z6" s="151">
        <f>'Platform P&amp;L'!Z6+'Add-On 1'!Z6+'Add-On 2'!Z6+'Add-On 3'!Z6+'Add-On 4'!Z6+'Add-On 5'!Z6+'Add-On 6'!Z6+'Add-On 7'!Z6+'Add-On 8'!Z6+'Add-On 9'!Z6+'Add-On 10'!Z6</f>
        <v/>
      </c>
      <c r="AA6" s="151">
        <f>'Platform P&amp;L'!AA6+'Add-On 1'!AA6+'Add-On 2'!AA6+'Add-On 3'!AA6+'Add-On 4'!AA6+'Add-On 5'!AA6+'Add-On 6'!AA6+'Add-On 7'!AA6+'Add-On 8'!AA6+'Add-On 9'!AA6+'Add-On 10'!AA6</f>
        <v/>
      </c>
      <c r="AB6" s="151">
        <f>'Platform P&amp;L'!AB6+'Add-On 1'!AB6+'Add-On 2'!AB6+'Add-On 3'!AB6+'Add-On 4'!AB6+'Add-On 5'!AB6+'Add-On 6'!AB6+'Add-On 7'!AB6+'Add-On 8'!AB6+'Add-On 9'!AB6+'Add-On 10'!AB6</f>
        <v/>
      </c>
      <c r="AC6" s="151">
        <f>'Platform P&amp;L'!AC6+'Add-On 1'!AC6+'Add-On 2'!AC6+'Add-On 3'!AC6+'Add-On 4'!AC6+'Add-On 5'!AC6+'Add-On 6'!AC6+'Add-On 7'!AC6+'Add-On 8'!AC6+'Add-On 9'!AC6+'Add-On 10'!AC6</f>
        <v/>
      </c>
      <c r="AD6" s="151">
        <f>'Platform P&amp;L'!AD6+'Add-On 1'!AD6+'Add-On 2'!AD6+'Add-On 3'!AD6+'Add-On 4'!AD6+'Add-On 5'!AD6+'Add-On 6'!AD6+'Add-On 7'!AD6+'Add-On 8'!AD6+'Add-On 9'!AD6+'Add-On 10'!AD6</f>
        <v/>
      </c>
      <c r="AE6" s="151">
        <f>'Platform P&amp;L'!AE6+'Add-On 1'!AE6+'Add-On 2'!AE6+'Add-On 3'!AE6+'Add-On 4'!AE6+'Add-On 5'!AE6+'Add-On 6'!AE6+'Add-On 7'!AE6+'Add-On 8'!AE6+'Add-On 9'!AE6+'Add-On 10'!AE6</f>
        <v/>
      </c>
      <c r="AF6" s="151">
        <f>'Platform P&amp;L'!AF6+'Add-On 1'!AF6+'Add-On 2'!AF6+'Add-On 3'!AF6+'Add-On 4'!AF6+'Add-On 5'!AF6+'Add-On 6'!AF6+'Add-On 7'!AF6+'Add-On 8'!AF6+'Add-On 9'!AF6+'Add-On 10'!AF6</f>
        <v/>
      </c>
      <c r="AG6" s="151">
        <f>'Platform P&amp;L'!AG6+'Add-On 1'!AG6+'Add-On 2'!AG6+'Add-On 3'!AG6+'Add-On 4'!AG6+'Add-On 5'!AG6+'Add-On 6'!AG6+'Add-On 7'!AG6+'Add-On 8'!AG6+'Add-On 9'!AG6+'Add-On 10'!AG6</f>
        <v/>
      </c>
      <c r="AH6" s="151">
        <f>'Platform P&amp;L'!AH6+'Add-On 1'!AH6+'Add-On 2'!AH6+'Add-On 3'!AH6+'Add-On 4'!AH6+'Add-On 5'!AH6+'Add-On 6'!AH6+'Add-On 7'!AH6+'Add-On 8'!AH6+'Add-On 9'!AH6+'Add-On 10'!AH6</f>
        <v/>
      </c>
      <c r="AI6" s="151">
        <f>'Platform P&amp;L'!AI6+'Add-On 1'!AI6+'Add-On 2'!AI6+'Add-On 3'!AI6+'Add-On 4'!AI6+'Add-On 5'!AI6+'Add-On 6'!AI6+'Add-On 7'!AI6+'Add-On 8'!AI6+'Add-On 9'!AI6+'Add-On 10'!AI6</f>
        <v/>
      </c>
      <c r="AJ6" s="151">
        <f>'Platform P&amp;L'!AJ6+'Add-On 1'!AJ6+'Add-On 2'!AJ6+'Add-On 3'!AJ6+'Add-On 4'!AJ6+'Add-On 5'!AJ6+'Add-On 6'!AJ6+'Add-On 7'!AJ6+'Add-On 8'!AJ6+'Add-On 9'!AJ6+'Add-On 10'!AJ6</f>
        <v/>
      </c>
      <c r="AK6" s="151">
        <f>'Platform P&amp;L'!AK6+'Add-On 1'!AK6+'Add-On 2'!AK6+'Add-On 3'!AK6+'Add-On 4'!AK6+'Add-On 5'!AK6+'Add-On 6'!AK6+'Add-On 7'!AK6+'Add-On 8'!AK6+'Add-On 9'!AK6+'Add-On 10'!AK6</f>
        <v/>
      </c>
      <c r="AL6" s="151">
        <f>'Platform P&amp;L'!AL6+'Add-On 1'!AL6+'Add-On 2'!AL6+'Add-On 3'!AL6+'Add-On 4'!AL6+'Add-On 5'!AL6+'Add-On 6'!AL6+'Add-On 7'!AL6+'Add-On 8'!AL6+'Add-On 9'!AL6+'Add-On 10'!AL6</f>
        <v/>
      </c>
      <c r="AM6" s="151">
        <f>'Platform P&amp;L'!AM6+'Add-On 1'!AM6+'Add-On 2'!AM6+'Add-On 3'!AM6+'Add-On 4'!AM6+'Add-On 5'!AM6+'Add-On 6'!AM6+'Add-On 7'!AM6+'Add-On 8'!AM6+'Add-On 9'!AM6+'Add-On 10'!AM6</f>
        <v/>
      </c>
      <c r="AN6" s="151">
        <f>'Platform P&amp;L'!AN6+'Add-On 1'!AN6+'Add-On 2'!AN6+'Add-On 3'!AN6+'Add-On 4'!AN6+'Add-On 5'!AN6+'Add-On 6'!AN6+'Add-On 7'!AN6+'Add-On 8'!AN6+'Add-On 9'!AN6+'Add-On 10'!AN6</f>
        <v/>
      </c>
      <c r="AO6" s="151">
        <f>'Platform P&amp;L'!AO6+'Add-On 1'!AO6+'Add-On 2'!AO6+'Add-On 3'!AO6+'Add-On 4'!AO6+'Add-On 5'!AO6+'Add-On 6'!AO6+'Add-On 7'!AO6+'Add-On 8'!AO6+'Add-On 9'!AO6+'Add-On 10'!AO6</f>
        <v/>
      </c>
      <c r="AP6" s="151">
        <f>'Platform P&amp;L'!AP6+'Add-On 1'!AP6+'Add-On 2'!AP6+'Add-On 3'!AP6+'Add-On 4'!AP6+'Add-On 5'!AP6+'Add-On 6'!AP6+'Add-On 7'!AP6+'Add-On 8'!AP6+'Add-On 9'!AP6+'Add-On 10'!AP6</f>
        <v/>
      </c>
      <c r="AQ6" s="151">
        <f>'Platform P&amp;L'!AQ6+'Add-On 1'!AQ6+'Add-On 2'!AQ6+'Add-On 3'!AQ6+'Add-On 4'!AQ6+'Add-On 5'!AQ6+'Add-On 6'!AQ6+'Add-On 7'!AQ6+'Add-On 8'!AQ6+'Add-On 9'!AQ6+'Add-On 10'!AQ6</f>
        <v/>
      </c>
      <c r="AR6" s="151">
        <f>'Platform P&amp;L'!AR6+'Add-On 1'!AR6+'Add-On 2'!AR6+'Add-On 3'!AR6+'Add-On 4'!AR6+'Add-On 5'!AR6+'Add-On 6'!AR6+'Add-On 7'!AR6+'Add-On 8'!AR6+'Add-On 9'!AR6+'Add-On 10'!AR6</f>
        <v/>
      </c>
      <c r="AS6" s="151">
        <f>'Platform P&amp;L'!AS6+'Add-On 1'!AS6+'Add-On 2'!AS6+'Add-On 3'!AS6+'Add-On 4'!AS6+'Add-On 5'!AS6+'Add-On 6'!AS6+'Add-On 7'!AS6+'Add-On 8'!AS6+'Add-On 9'!AS6+'Add-On 10'!AS6</f>
        <v/>
      </c>
      <c r="AT6" s="151">
        <f>'Platform P&amp;L'!AT6+'Add-On 1'!AT6+'Add-On 2'!AT6+'Add-On 3'!AT6+'Add-On 4'!AT6+'Add-On 5'!AT6+'Add-On 6'!AT6+'Add-On 7'!AT6+'Add-On 8'!AT6+'Add-On 9'!AT6+'Add-On 10'!AT6</f>
        <v/>
      </c>
      <c r="AU6" s="151">
        <f>'Platform P&amp;L'!AU6+'Add-On 1'!AU6+'Add-On 2'!AU6+'Add-On 3'!AU6+'Add-On 4'!AU6+'Add-On 5'!AU6+'Add-On 6'!AU6+'Add-On 7'!AU6+'Add-On 8'!AU6+'Add-On 9'!AU6+'Add-On 10'!AU6</f>
        <v/>
      </c>
      <c r="AV6" s="151">
        <f>'Platform P&amp;L'!AV6+'Add-On 1'!AV6+'Add-On 2'!AV6+'Add-On 3'!AV6+'Add-On 4'!AV6+'Add-On 5'!AV6+'Add-On 6'!AV6+'Add-On 7'!AV6+'Add-On 8'!AV6+'Add-On 9'!AV6+'Add-On 10'!AV6</f>
        <v/>
      </c>
      <c r="AW6" s="151">
        <f>'Platform P&amp;L'!AW6+'Add-On 1'!AW6+'Add-On 2'!AW6+'Add-On 3'!AW6+'Add-On 4'!AW6+'Add-On 5'!AW6+'Add-On 6'!AW6+'Add-On 7'!AW6+'Add-On 8'!AW6+'Add-On 9'!AW6+'Add-On 10'!AW6</f>
        <v/>
      </c>
      <c r="AX6" s="151">
        <f>'Platform P&amp;L'!AX6+'Add-On 1'!AX6+'Add-On 2'!AX6+'Add-On 3'!AX6+'Add-On 4'!AX6+'Add-On 5'!AX6+'Add-On 6'!AX6+'Add-On 7'!AX6+'Add-On 8'!AX6+'Add-On 9'!AX6+'Add-On 10'!AX6</f>
        <v/>
      </c>
      <c r="AY6" s="151">
        <f>'Platform P&amp;L'!AY6+'Add-On 1'!AY6+'Add-On 2'!AY6+'Add-On 3'!AY6+'Add-On 4'!AY6+'Add-On 5'!AY6+'Add-On 6'!AY6+'Add-On 7'!AY6+'Add-On 8'!AY6+'Add-On 9'!AY6+'Add-On 10'!AY6</f>
        <v/>
      </c>
      <c r="AZ6" s="151">
        <f>'Platform P&amp;L'!AZ6+'Add-On 1'!AZ6+'Add-On 2'!AZ6+'Add-On 3'!AZ6+'Add-On 4'!AZ6+'Add-On 5'!AZ6+'Add-On 6'!AZ6+'Add-On 7'!AZ6+'Add-On 8'!AZ6+'Add-On 9'!AZ6+'Add-On 10'!AZ6</f>
        <v/>
      </c>
      <c r="BA6" s="151">
        <f>'Platform P&amp;L'!BA6+'Add-On 1'!BA6+'Add-On 2'!BA6+'Add-On 3'!BA6+'Add-On 4'!BA6+'Add-On 5'!BA6+'Add-On 6'!BA6+'Add-On 7'!BA6+'Add-On 8'!BA6+'Add-On 9'!BA6+'Add-On 10'!BA6</f>
        <v/>
      </c>
      <c r="BB6" s="151">
        <f>'Platform P&amp;L'!BB6+'Add-On 1'!BB6+'Add-On 2'!BB6+'Add-On 3'!BB6+'Add-On 4'!BB6+'Add-On 5'!BB6+'Add-On 6'!BB6+'Add-On 7'!BB6+'Add-On 8'!BB6+'Add-On 9'!BB6+'Add-On 10'!BB6</f>
        <v/>
      </c>
      <c r="BC6" s="151">
        <f>'Platform P&amp;L'!BC6+'Add-On 1'!BC6+'Add-On 2'!BC6+'Add-On 3'!BC6+'Add-On 4'!BC6+'Add-On 5'!BC6+'Add-On 6'!BC6+'Add-On 7'!BC6+'Add-On 8'!BC6+'Add-On 9'!BC6+'Add-On 10'!BC6</f>
        <v/>
      </c>
      <c r="BD6" s="151">
        <f>'Platform P&amp;L'!BD6+'Add-On 1'!BD6+'Add-On 2'!BD6+'Add-On 3'!BD6+'Add-On 4'!BD6+'Add-On 5'!BD6+'Add-On 6'!BD6+'Add-On 7'!BD6+'Add-On 8'!BD6+'Add-On 9'!BD6+'Add-On 10'!BD6</f>
        <v/>
      </c>
      <c r="BE6" s="151">
        <f>'Platform P&amp;L'!BE6+'Add-On 1'!BE6+'Add-On 2'!BE6+'Add-On 3'!BE6+'Add-On 4'!BE6+'Add-On 5'!BE6+'Add-On 6'!BE6+'Add-On 7'!BE6+'Add-On 8'!BE6+'Add-On 9'!BE6+'Add-On 10'!BE6</f>
        <v/>
      </c>
      <c r="BF6" s="151">
        <f>'Platform P&amp;L'!BF6+'Add-On 1'!BF6+'Add-On 2'!BF6+'Add-On 3'!BF6+'Add-On 4'!BF6+'Add-On 5'!BF6+'Add-On 6'!BF6+'Add-On 7'!BF6+'Add-On 8'!BF6+'Add-On 9'!BF6+'Add-On 10'!BF6</f>
        <v/>
      </c>
      <c r="BG6" s="151">
        <f>'Platform P&amp;L'!BG6+'Add-On 1'!BG6+'Add-On 2'!BG6+'Add-On 3'!BG6+'Add-On 4'!BG6+'Add-On 5'!BG6+'Add-On 6'!BG6+'Add-On 7'!BG6+'Add-On 8'!BG6+'Add-On 9'!BG6+'Add-On 10'!BG6</f>
        <v/>
      </c>
      <c r="BH6" s="151">
        <f>'Platform P&amp;L'!BH6+'Add-On 1'!BH6+'Add-On 2'!BH6+'Add-On 3'!BH6+'Add-On 4'!BH6+'Add-On 5'!BH6+'Add-On 6'!BH6+'Add-On 7'!BH6+'Add-On 8'!BH6+'Add-On 9'!BH6+'Add-On 10'!BH6</f>
        <v/>
      </c>
      <c r="BI6" s="151">
        <f>'Platform P&amp;L'!BI6+'Add-On 1'!BI6+'Add-On 2'!BI6+'Add-On 3'!BI6+'Add-On 4'!BI6+'Add-On 5'!BI6+'Add-On 6'!BI6+'Add-On 7'!BI6+'Add-On 8'!BI6+'Add-On 9'!BI6+'Add-On 10'!BI6</f>
        <v/>
      </c>
      <c r="BJ6" s="151">
        <f>'Platform P&amp;L'!BJ6+'Add-On 1'!BJ6+'Add-On 2'!BJ6+'Add-On 3'!BJ6+'Add-On 4'!BJ6+'Add-On 5'!BJ6+'Add-On 6'!BJ6+'Add-On 7'!BJ6+'Add-On 8'!BJ6+'Add-On 9'!BJ6+'Add-On 10'!BJ6</f>
        <v/>
      </c>
      <c r="BL6" s="152">
        <f>C6+D6+E6+F6+G6+H6+I6+J6+K6+L6+M6+N6</f>
        <v/>
      </c>
      <c r="BM6" s="152">
        <f>O6+P6+Q6+R6+S6+T6+U6+V6+W6+X6+Y6+Z6</f>
        <v/>
      </c>
      <c r="BN6" s="152">
        <f>AA6+AB6+AC6+AD6+AE6+AF6+AG6+AH6+AI6+AJ6+AK6+AL6</f>
        <v/>
      </c>
      <c r="BO6" s="152">
        <f>AM6+AN6+AO6+AP6+AQ6+AR6+AS6+AT6+AU6+AV6+AW6+AX6</f>
        <v/>
      </c>
      <c r="BP6" s="152">
        <f>AY6+AZ6+BA6+BB6+BC6+BD6+BE6+BF6+BG6+BH6+BI6+BJ6</f>
        <v/>
      </c>
    </row>
    <row r="7" ht="15" customHeight="1" s="104">
      <c r="A7" s="153" t="inlineStr">
        <is>
          <t>OPERATING EXPENSES</t>
        </is>
      </c>
      <c r="B7" s="154" t="n"/>
      <c r="C7" s="154" t="n"/>
      <c r="D7" s="154" t="n"/>
      <c r="E7" s="154" t="n"/>
      <c r="F7" s="154" t="n"/>
      <c r="G7" s="154" t="n"/>
      <c r="H7" s="154" t="n"/>
      <c r="I7" s="154" t="n"/>
      <c r="J7" s="154" t="n"/>
      <c r="K7" s="154" t="n"/>
      <c r="L7" s="154" t="n"/>
      <c r="M7" s="154" t="n"/>
      <c r="N7" s="154" t="n"/>
      <c r="O7" s="154" t="n"/>
      <c r="P7" s="154" t="n"/>
      <c r="Q7" s="154" t="n"/>
      <c r="R7" s="154" t="n"/>
      <c r="S7" s="154" t="n"/>
      <c r="T7" s="154" t="n"/>
      <c r="U7" s="154" t="n"/>
      <c r="V7" s="154" t="n"/>
      <c r="W7" s="154" t="n"/>
      <c r="X7" s="154" t="n"/>
      <c r="Y7" s="154" t="n"/>
      <c r="Z7" s="154" t="n"/>
      <c r="AA7" s="154" t="n"/>
      <c r="AB7" s="154" t="n"/>
      <c r="AC7" s="154" t="n"/>
      <c r="AD7" s="154" t="n"/>
      <c r="AE7" s="154" t="n"/>
      <c r="AF7" s="154" t="n"/>
      <c r="AG7" s="154" t="n"/>
      <c r="AH7" s="154" t="n"/>
      <c r="AI7" s="154" t="n"/>
      <c r="AJ7" s="154" t="n"/>
      <c r="AK7" s="154" t="n"/>
      <c r="AL7" s="154" t="n"/>
      <c r="AM7" s="154" t="n"/>
      <c r="AN7" s="154" t="n"/>
      <c r="AO7" s="154" t="n"/>
      <c r="AP7" s="154" t="n"/>
      <c r="AQ7" s="154" t="n"/>
      <c r="AR7" s="154" t="n"/>
      <c r="AS7" s="154" t="n"/>
      <c r="AT7" s="154" t="n"/>
      <c r="AU7" s="154" t="n"/>
      <c r="AV7" s="154" t="n"/>
      <c r="AW7" s="154" t="n"/>
      <c r="AX7" s="154" t="n"/>
      <c r="AY7" s="154" t="n"/>
      <c r="AZ7" s="154" t="n"/>
      <c r="BA7" s="154" t="n"/>
      <c r="BB7" s="154" t="n"/>
      <c r="BC7" s="154" t="n"/>
      <c r="BD7" s="154" t="n"/>
      <c r="BE7" s="154" t="n"/>
      <c r="BF7" s="154" t="n"/>
      <c r="BG7" s="154" t="n"/>
      <c r="BH7" s="154" t="n"/>
      <c r="BI7" s="154" t="n"/>
      <c r="BJ7" s="154" t="n"/>
      <c r="BK7" s="154" t="n"/>
      <c r="BL7" s="154" t="n"/>
      <c r="BM7" s="154" t="n"/>
      <c r="BN7" s="154" t="n"/>
      <c r="BO7" s="154" t="n"/>
      <c r="BP7" s="154" t="n"/>
      <c r="BQ7" s="154" t="n"/>
    </row>
    <row r="8" ht="15" customHeight="1" s="104">
      <c r="A8" s="107" t="inlineStr">
        <is>
          <t xml:space="preserve">    Attorney Compensation</t>
        </is>
      </c>
      <c r="B8" s="155" t="n"/>
      <c r="C8" s="156">
        <f>'Platform P&amp;L'!C8+'Add-On 1'!C8+'Add-On 2'!C8+'Add-On 3'!C8+'Add-On 4'!C8+'Add-On 5'!C8+'Add-On 6'!C8+'Add-On 7'!C8+'Add-On 8'!C8+'Add-On 9'!C8+'Add-On 10'!C8</f>
        <v/>
      </c>
      <c r="D8" s="156">
        <f>'Platform P&amp;L'!D8+'Add-On 1'!D8+'Add-On 2'!D8+'Add-On 3'!D8+'Add-On 4'!D8+'Add-On 5'!D8+'Add-On 6'!D8+'Add-On 7'!D8+'Add-On 8'!D8+'Add-On 9'!D8+'Add-On 10'!D8</f>
        <v/>
      </c>
      <c r="E8" s="156">
        <f>'Platform P&amp;L'!E8+'Add-On 1'!E8+'Add-On 2'!E8+'Add-On 3'!E8+'Add-On 4'!E8+'Add-On 5'!E8+'Add-On 6'!E8+'Add-On 7'!E8+'Add-On 8'!E8+'Add-On 9'!E8+'Add-On 10'!E8</f>
        <v/>
      </c>
      <c r="F8" s="156">
        <f>'Platform P&amp;L'!F8+'Add-On 1'!F8+'Add-On 2'!F8+'Add-On 3'!F8+'Add-On 4'!F8+'Add-On 5'!F8+'Add-On 6'!F8+'Add-On 7'!F8+'Add-On 8'!F8+'Add-On 9'!F8+'Add-On 10'!F8</f>
        <v/>
      </c>
      <c r="G8" s="156">
        <f>'Platform P&amp;L'!G8+'Add-On 1'!G8+'Add-On 2'!G8+'Add-On 3'!G8+'Add-On 4'!G8+'Add-On 5'!G8+'Add-On 6'!G8+'Add-On 7'!G8+'Add-On 8'!G8+'Add-On 9'!G8+'Add-On 10'!G8</f>
        <v/>
      </c>
      <c r="H8" s="156">
        <f>'Platform P&amp;L'!H8+'Add-On 1'!H8+'Add-On 2'!H8+'Add-On 3'!H8+'Add-On 4'!H8+'Add-On 5'!H8+'Add-On 6'!H8+'Add-On 7'!H8+'Add-On 8'!H8+'Add-On 9'!H8+'Add-On 10'!H8</f>
        <v/>
      </c>
      <c r="I8" s="156">
        <f>'Platform P&amp;L'!I8+'Add-On 1'!I8+'Add-On 2'!I8+'Add-On 3'!I8+'Add-On 4'!I8+'Add-On 5'!I8+'Add-On 6'!I8+'Add-On 7'!I8+'Add-On 8'!I8+'Add-On 9'!I8+'Add-On 10'!I8</f>
        <v/>
      </c>
      <c r="J8" s="156">
        <f>'Platform P&amp;L'!J8+'Add-On 1'!J8+'Add-On 2'!J8+'Add-On 3'!J8+'Add-On 4'!J8+'Add-On 5'!J8+'Add-On 6'!J8+'Add-On 7'!J8+'Add-On 8'!J8+'Add-On 9'!J8+'Add-On 10'!J8</f>
        <v/>
      </c>
      <c r="K8" s="156">
        <f>'Platform P&amp;L'!K8+'Add-On 1'!K8+'Add-On 2'!K8+'Add-On 3'!K8+'Add-On 4'!K8+'Add-On 5'!K8+'Add-On 6'!K8+'Add-On 7'!K8+'Add-On 8'!K8+'Add-On 9'!K8+'Add-On 10'!K8</f>
        <v/>
      </c>
      <c r="L8" s="156">
        <f>'Platform P&amp;L'!L8+'Add-On 1'!L8+'Add-On 2'!L8+'Add-On 3'!L8+'Add-On 4'!L8+'Add-On 5'!L8+'Add-On 6'!L8+'Add-On 7'!L8+'Add-On 8'!L8+'Add-On 9'!L8+'Add-On 10'!L8</f>
        <v/>
      </c>
      <c r="M8" s="156">
        <f>'Platform P&amp;L'!M8+'Add-On 1'!M8+'Add-On 2'!M8+'Add-On 3'!M8+'Add-On 4'!M8+'Add-On 5'!M8+'Add-On 6'!M8+'Add-On 7'!M8+'Add-On 8'!M8+'Add-On 9'!M8+'Add-On 10'!M8</f>
        <v/>
      </c>
      <c r="N8" s="156">
        <f>'Platform P&amp;L'!N8+'Add-On 1'!N8+'Add-On 2'!N8+'Add-On 3'!N8+'Add-On 4'!N8+'Add-On 5'!N8+'Add-On 6'!N8+'Add-On 7'!N8+'Add-On 8'!N8+'Add-On 9'!N8+'Add-On 10'!N8</f>
        <v/>
      </c>
      <c r="O8" s="156">
        <f>'Platform P&amp;L'!O8+'Add-On 1'!O8+'Add-On 2'!O8+'Add-On 3'!O8+'Add-On 4'!O8+'Add-On 5'!O8+'Add-On 6'!O8+'Add-On 7'!O8+'Add-On 8'!O8+'Add-On 9'!O8+'Add-On 10'!O8</f>
        <v/>
      </c>
      <c r="P8" s="156">
        <f>'Platform P&amp;L'!P8+'Add-On 1'!P8+'Add-On 2'!P8+'Add-On 3'!P8+'Add-On 4'!P8+'Add-On 5'!P8+'Add-On 6'!P8+'Add-On 7'!P8+'Add-On 8'!P8+'Add-On 9'!P8+'Add-On 10'!P8</f>
        <v/>
      </c>
      <c r="Q8" s="156">
        <f>'Platform P&amp;L'!Q8+'Add-On 1'!Q8+'Add-On 2'!Q8+'Add-On 3'!Q8+'Add-On 4'!Q8+'Add-On 5'!Q8+'Add-On 6'!Q8+'Add-On 7'!Q8+'Add-On 8'!Q8+'Add-On 9'!Q8+'Add-On 10'!Q8</f>
        <v/>
      </c>
      <c r="R8" s="156">
        <f>'Platform P&amp;L'!R8+'Add-On 1'!R8+'Add-On 2'!R8+'Add-On 3'!R8+'Add-On 4'!R8+'Add-On 5'!R8+'Add-On 6'!R8+'Add-On 7'!R8+'Add-On 8'!R8+'Add-On 9'!R8+'Add-On 10'!R8</f>
        <v/>
      </c>
      <c r="S8" s="156">
        <f>'Platform P&amp;L'!S8+'Add-On 1'!S8+'Add-On 2'!S8+'Add-On 3'!S8+'Add-On 4'!S8+'Add-On 5'!S8+'Add-On 6'!S8+'Add-On 7'!S8+'Add-On 8'!S8+'Add-On 9'!S8+'Add-On 10'!S8</f>
        <v/>
      </c>
      <c r="T8" s="156">
        <f>'Platform P&amp;L'!T8+'Add-On 1'!T8+'Add-On 2'!T8+'Add-On 3'!T8+'Add-On 4'!T8+'Add-On 5'!T8+'Add-On 6'!T8+'Add-On 7'!T8+'Add-On 8'!T8+'Add-On 9'!T8+'Add-On 10'!T8</f>
        <v/>
      </c>
      <c r="U8" s="156">
        <f>'Platform P&amp;L'!U8+'Add-On 1'!U8+'Add-On 2'!U8+'Add-On 3'!U8+'Add-On 4'!U8+'Add-On 5'!U8+'Add-On 6'!U8+'Add-On 7'!U8+'Add-On 8'!U8+'Add-On 9'!U8+'Add-On 10'!U8</f>
        <v/>
      </c>
      <c r="V8" s="156">
        <f>'Platform P&amp;L'!V8+'Add-On 1'!V8+'Add-On 2'!V8+'Add-On 3'!V8+'Add-On 4'!V8+'Add-On 5'!V8+'Add-On 6'!V8+'Add-On 7'!V8+'Add-On 8'!V8+'Add-On 9'!V8+'Add-On 10'!V8</f>
        <v/>
      </c>
      <c r="W8" s="156">
        <f>'Platform P&amp;L'!W8+'Add-On 1'!W8+'Add-On 2'!W8+'Add-On 3'!W8+'Add-On 4'!W8+'Add-On 5'!W8+'Add-On 6'!W8+'Add-On 7'!W8+'Add-On 8'!W8+'Add-On 9'!W8+'Add-On 10'!W8</f>
        <v/>
      </c>
      <c r="X8" s="156">
        <f>'Platform P&amp;L'!X8+'Add-On 1'!X8+'Add-On 2'!X8+'Add-On 3'!X8+'Add-On 4'!X8+'Add-On 5'!X8+'Add-On 6'!X8+'Add-On 7'!X8+'Add-On 8'!X8+'Add-On 9'!X8+'Add-On 10'!X8</f>
        <v/>
      </c>
      <c r="Y8" s="156">
        <f>'Platform P&amp;L'!Y8+'Add-On 1'!Y8+'Add-On 2'!Y8+'Add-On 3'!Y8+'Add-On 4'!Y8+'Add-On 5'!Y8+'Add-On 6'!Y8+'Add-On 7'!Y8+'Add-On 8'!Y8+'Add-On 9'!Y8+'Add-On 10'!Y8</f>
        <v/>
      </c>
      <c r="Z8" s="156">
        <f>'Platform P&amp;L'!Z8+'Add-On 1'!Z8+'Add-On 2'!Z8+'Add-On 3'!Z8+'Add-On 4'!Z8+'Add-On 5'!Z8+'Add-On 6'!Z8+'Add-On 7'!Z8+'Add-On 8'!Z8+'Add-On 9'!Z8+'Add-On 10'!Z8</f>
        <v/>
      </c>
      <c r="AA8" s="156">
        <f>'Platform P&amp;L'!AA8+'Add-On 1'!AA8+'Add-On 2'!AA8+'Add-On 3'!AA8+'Add-On 4'!AA8+'Add-On 5'!AA8+'Add-On 6'!AA8+'Add-On 7'!AA8+'Add-On 8'!AA8+'Add-On 9'!AA8+'Add-On 10'!AA8</f>
        <v/>
      </c>
      <c r="AB8" s="156">
        <f>'Platform P&amp;L'!AB8+'Add-On 1'!AB8+'Add-On 2'!AB8+'Add-On 3'!AB8+'Add-On 4'!AB8+'Add-On 5'!AB8+'Add-On 6'!AB8+'Add-On 7'!AB8+'Add-On 8'!AB8+'Add-On 9'!AB8+'Add-On 10'!AB8</f>
        <v/>
      </c>
      <c r="AC8" s="156">
        <f>'Platform P&amp;L'!AC8+'Add-On 1'!AC8+'Add-On 2'!AC8+'Add-On 3'!AC8+'Add-On 4'!AC8+'Add-On 5'!AC8+'Add-On 6'!AC8+'Add-On 7'!AC8+'Add-On 8'!AC8+'Add-On 9'!AC8+'Add-On 10'!AC8</f>
        <v/>
      </c>
      <c r="AD8" s="156">
        <f>'Platform P&amp;L'!AD8+'Add-On 1'!AD8+'Add-On 2'!AD8+'Add-On 3'!AD8+'Add-On 4'!AD8+'Add-On 5'!AD8+'Add-On 6'!AD8+'Add-On 7'!AD8+'Add-On 8'!AD8+'Add-On 9'!AD8+'Add-On 10'!AD8</f>
        <v/>
      </c>
      <c r="AE8" s="156">
        <f>'Platform P&amp;L'!AE8+'Add-On 1'!AE8+'Add-On 2'!AE8+'Add-On 3'!AE8+'Add-On 4'!AE8+'Add-On 5'!AE8+'Add-On 6'!AE8+'Add-On 7'!AE8+'Add-On 8'!AE8+'Add-On 9'!AE8+'Add-On 10'!AE8</f>
        <v/>
      </c>
      <c r="AF8" s="156">
        <f>'Platform P&amp;L'!AF8+'Add-On 1'!AF8+'Add-On 2'!AF8+'Add-On 3'!AF8+'Add-On 4'!AF8+'Add-On 5'!AF8+'Add-On 6'!AF8+'Add-On 7'!AF8+'Add-On 8'!AF8+'Add-On 9'!AF8+'Add-On 10'!AF8</f>
        <v/>
      </c>
      <c r="AG8" s="156">
        <f>'Platform P&amp;L'!AG8+'Add-On 1'!AG8+'Add-On 2'!AG8+'Add-On 3'!AG8+'Add-On 4'!AG8+'Add-On 5'!AG8+'Add-On 6'!AG8+'Add-On 7'!AG8+'Add-On 8'!AG8+'Add-On 9'!AG8+'Add-On 10'!AG8</f>
        <v/>
      </c>
      <c r="AH8" s="156">
        <f>'Platform P&amp;L'!AH8+'Add-On 1'!AH8+'Add-On 2'!AH8+'Add-On 3'!AH8+'Add-On 4'!AH8+'Add-On 5'!AH8+'Add-On 6'!AH8+'Add-On 7'!AH8+'Add-On 8'!AH8+'Add-On 9'!AH8+'Add-On 10'!AH8</f>
        <v/>
      </c>
      <c r="AI8" s="156">
        <f>'Platform P&amp;L'!AI8+'Add-On 1'!AI8+'Add-On 2'!AI8+'Add-On 3'!AI8+'Add-On 4'!AI8+'Add-On 5'!AI8+'Add-On 6'!AI8+'Add-On 7'!AI8+'Add-On 8'!AI8+'Add-On 9'!AI8+'Add-On 10'!AI8</f>
        <v/>
      </c>
      <c r="AJ8" s="156">
        <f>'Platform P&amp;L'!AJ8+'Add-On 1'!AJ8+'Add-On 2'!AJ8+'Add-On 3'!AJ8+'Add-On 4'!AJ8+'Add-On 5'!AJ8+'Add-On 6'!AJ8+'Add-On 7'!AJ8+'Add-On 8'!AJ8+'Add-On 9'!AJ8+'Add-On 10'!AJ8</f>
        <v/>
      </c>
      <c r="AK8" s="156">
        <f>'Platform P&amp;L'!AK8+'Add-On 1'!AK8+'Add-On 2'!AK8+'Add-On 3'!AK8+'Add-On 4'!AK8+'Add-On 5'!AK8+'Add-On 6'!AK8+'Add-On 7'!AK8+'Add-On 8'!AK8+'Add-On 9'!AK8+'Add-On 10'!AK8</f>
        <v/>
      </c>
      <c r="AL8" s="156">
        <f>'Platform P&amp;L'!AL8+'Add-On 1'!AL8+'Add-On 2'!AL8+'Add-On 3'!AL8+'Add-On 4'!AL8+'Add-On 5'!AL8+'Add-On 6'!AL8+'Add-On 7'!AL8+'Add-On 8'!AL8+'Add-On 9'!AL8+'Add-On 10'!AL8</f>
        <v/>
      </c>
      <c r="AM8" s="156">
        <f>'Platform P&amp;L'!AM8+'Add-On 1'!AM8+'Add-On 2'!AM8+'Add-On 3'!AM8+'Add-On 4'!AM8+'Add-On 5'!AM8+'Add-On 6'!AM8+'Add-On 7'!AM8+'Add-On 8'!AM8+'Add-On 9'!AM8+'Add-On 10'!AM8</f>
        <v/>
      </c>
      <c r="AN8" s="156">
        <f>'Platform P&amp;L'!AN8+'Add-On 1'!AN8+'Add-On 2'!AN8+'Add-On 3'!AN8+'Add-On 4'!AN8+'Add-On 5'!AN8+'Add-On 6'!AN8+'Add-On 7'!AN8+'Add-On 8'!AN8+'Add-On 9'!AN8+'Add-On 10'!AN8</f>
        <v/>
      </c>
      <c r="AO8" s="156">
        <f>'Platform P&amp;L'!AO8+'Add-On 1'!AO8+'Add-On 2'!AO8+'Add-On 3'!AO8+'Add-On 4'!AO8+'Add-On 5'!AO8+'Add-On 6'!AO8+'Add-On 7'!AO8+'Add-On 8'!AO8+'Add-On 9'!AO8+'Add-On 10'!AO8</f>
        <v/>
      </c>
      <c r="AP8" s="156">
        <f>'Platform P&amp;L'!AP8+'Add-On 1'!AP8+'Add-On 2'!AP8+'Add-On 3'!AP8+'Add-On 4'!AP8+'Add-On 5'!AP8+'Add-On 6'!AP8+'Add-On 7'!AP8+'Add-On 8'!AP8+'Add-On 9'!AP8+'Add-On 10'!AP8</f>
        <v/>
      </c>
      <c r="AQ8" s="156">
        <f>'Platform P&amp;L'!AQ8+'Add-On 1'!AQ8+'Add-On 2'!AQ8+'Add-On 3'!AQ8+'Add-On 4'!AQ8+'Add-On 5'!AQ8+'Add-On 6'!AQ8+'Add-On 7'!AQ8+'Add-On 8'!AQ8+'Add-On 9'!AQ8+'Add-On 10'!AQ8</f>
        <v/>
      </c>
      <c r="AR8" s="156">
        <f>'Platform P&amp;L'!AR8+'Add-On 1'!AR8+'Add-On 2'!AR8+'Add-On 3'!AR8+'Add-On 4'!AR8+'Add-On 5'!AR8+'Add-On 6'!AR8+'Add-On 7'!AR8+'Add-On 8'!AR8+'Add-On 9'!AR8+'Add-On 10'!AR8</f>
        <v/>
      </c>
      <c r="AS8" s="156">
        <f>'Platform P&amp;L'!AS8+'Add-On 1'!AS8+'Add-On 2'!AS8+'Add-On 3'!AS8+'Add-On 4'!AS8+'Add-On 5'!AS8+'Add-On 6'!AS8+'Add-On 7'!AS8+'Add-On 8'!AS8+'Add-On 9'!AS8+'Add-On 10'!AS8</f>
        <v/>
      </c>
      <c r="AT8" s="156">
        <f>'Platform P&amp;L'!AT8+'Add-On 1'!AT8+'Add-On 2'!AT8+'Add-On 3'!AT8+'Add-On 4'!AT8+'Add-On 5'!AT8+'Add-On 6'!AT8+'Add-On 7'!AT8+'Add-On 8'!AT8+'Add-On 9'!AT8+'Add-On 10'!AT8</f>
        <v/>
      </c>
      <c r="AU8" s="156">
        <f>'Platform P&amp;L'!AU8+'Add-On 1'!AU8+'Add-On 2'!AU8+'Add-On 3'!AU8+'Add-On 4'!AU8+'Add-On 5'!AU8+'Add-On 6'!AU8+'Add-On 7'!AU8+'Add-On 8'!AU8+'Add-On 9'!AU8+'Add-On 10'!AU8</f>
        <v/>
      </c>
      <c r="AV8" s="156">
        <f>'Platform P&amp;L'!AV8+'Add-On 1'!AV8+'Add-On 2'!AV8+'Add-On 3'!AV8+'Add-On 4'!AV8+'Add-On 5'!AV8+'Add-On 6'!AV8+'Add-On 7'!AV8+'Add-On 8'!AV8+'Add-On 9'!AV8+'Add-On 10'!AV8</f>
        <v/>
      </c>
      <c r="AW8" s="156">
        <f>'Platform P&amp;L'!AW8+'Add-On 1'!AW8+'Add-On 2'!AW8+'Add-On 3'!AW8+'Add-On 4'!AW8+'Add-On 5'!AW8+'Add-On 6'!AW8+'Add-On 7'!AW8+'Add-On 8'!AW8+'Add-On 9'!AW8+'Add-On 10'!AW8</f>
        <v/>
      </c>
      <c r="AX8" s="156">
        <f>'Platform P&amp;L'!AX8+'Add-On 1'!AX8+'Add-On 2'!AX8+'Add-On 3'!AX8+'Add-On 4'!AX8+'Add-On 5'!AX8+'Add-On 6'!AX8+'Add-On 7'!AX8+'Add-On 8'!AX8+'Add-On 9'!AX8+'Add-On 10'!AX8</f>
        <v/>
      </c>
      <c r="AY8" s="156">
        <f>'Platform P&amp;L'!AY8+'Add-On 1'!AY8+'Add-On 2'!AY8+'Add-On 3'!AY8+'Add-On 4'!AY8+'Add-On 5'!AY8+'Add-On 6'!AY8+'Add-On 7'!AY8+'Add-On 8'!AY8+'Add-On 9'!AY8+'Add-On 10'!AY8</f>
        <v/>
      </c>
      <c r="AZ8" s="156">
        <f>'Platform P&amp;L'!AZ8+'Add-On 1'!AZ8+'Add-On 2'!AZ8+'Add-On 3'!AZ8+'Add-On 4'!AZ8+'Add-On 5'!AZ8+'Add-On 6'!AZ8+'Add-On 7'!AZ8+'Add-On 8'!AZ8+'Add-On 9'!AZ8+'Add-On 10'!AZ8</f>
        <v/>
      </c>
      <c r="BA8" s="156">
        <f>'Platform P&amp;L'!BA8+'Add-On 1'!BA8+'Add-On 2'!BA8+'Add-On 3'!BA8+'Add-On 4'!BA8+'Add-On 5'!BA8+'Add-On 6'!BA8+'Add-On 7'!BA8+'Add-On 8'!BA8+'Add-On 9'!BA8+'Add-On 10'!BA8</f>
        <v/>
      </c>
      <c r="BB8" s="156">
        <f>'Platform P&amp;L'!BB8+'Add-On 1'!BB8+'Add-On 2'!BB8+'Add-On 3'!BB8+'Add-On 4'!BB8+'Add-On 5'!BB8+'Add-On 6'!BB8+'Add-On 7'!BB8+'Add-On 8'!BB8+'Add-On 9'!BB8+'Add-On 10'!BB8</f>
        <v/>
      </c>
      <c r="BC8" s="156">
        <f>'Platform P&amp;L'!BC8+'Add-On 1'!BC8+'Add-On 2'!BC8+'Add-On 3'!BC8+'Add-On 4'!BC8+'Add-On 5'!BC8+'Add-On 6'!BC8+'Add-On 7'!BC8+'Add-On 8'!BC8+'Add-On 9'!BC8+'Add-On 10'!BC8</f>
        <v/>
      </c>
      <c r="BD8" s="156">
        <f>'Platform P&amp;L'!BD8+'Add-On 1'!BD8+'Add-On 2'!BD8+'Add-On 3'!BD8+'Add-On 4'!BD8+'Add-On 5'!BD8+'Add-On 6'!BD8+'Add-On 7'!BD8+'Add-On 8'!BD8+'Add-On 9'!BD8+'Add-On 10'!BD8</f>
        <v/>
      </c>
      <c r="BE8" s="156">
        <f>'Platform P&amp;L'!BE8+'Add-On 1'!BE8+'Add-On 2'!BE8+'Add-On 3'!BE8+'Add-On 4'!BE8+'Add-On 5'!BE8+'Add-On 6'!BE8+'Add-On 7'!BE8+'Add-On 8'!BE8+'Add-On 9'!BE8+'Add-On 10'!BE8</f>
        <v/>
      </c>
      <c r="BF8" s="156">
        <f>'Platform P&amp;L'!BF8+'Add-On 1'!BF8+'Add-On 2'!BF8+'Add-On 3'!BF8+'Add-On 4'!BF8+'Add-On 5'!BF8+'Add-On 6'!BF8+'Add-On 7'!BF8+'Add-On 8'!BF8+'Add-On 9'!BF8+'Add-On 10'!BF8</f>
        <v/>
      </c>
      <c r="BG8" s="156">
        <f>'Platform P&amp;L'!BG8+'Add-On 1'!BG8+'Add-On 2'!BG8+'Add-On 3'!BG8+'Add-On 4'!BG8+'Add-On 5'!BG8+'Add-On 6'!BG8+'Add-On 7'!BG8+'Add-On 8'!BG8+'Add-On 9'!BG8+'Add-On 10'!BG8</f>
        <v/>
      </c>
      <c r="BH8" s="156">
        <f>'Platform P&amp;L'!BH8+'Add-On 1'!BH8+'Add-On 2'!BH8+'Add-On 3'!BH8+'Add-On 4'!BH8+'Add-On 5'!BH8+'Add-On 6'!BH8+'Add-On 7'!BH8+'Add-On 8'!BH8+'Add-On 9'!BH8+'Add-On 10'!BH8</f>
        <v/>
      </c>
      <c r="BI8" s="156">
        <f>'Platform P&amp;L'!BI8+'Add-On 1'!BI8+'Add-On 2'!BI8+'Add-On 3'!BI8+'Add-On 4'!BI8+'Add-On 5'!BI8+'Add-On 6'!BI8+'Add-On 7'!BI8+'Add-On 8'!BI8+'Add-On 9'!BI8+'Add-On 10'!BI8</f>
        <v/>
      </c>
      <c r="BJ8" s="156">
        <f>'Platform P&amp;L'!BJ8+'Add-On 1'!BJ8+'Add-On 2'!BJ8+'Add-On 3'!BJ8+'Add-On 4'!BJ8+'Add-On 5'!BJ8+'Add-On 6'!BJ8+'Add-On 7'!BJ8+'Add-On 8'!BJ8+'Add-On 9'!BJ8+'Add-On 10'!BJ8</f>
        <v/>
      </c>
      <c r="BK8" s="155" t="n"/>
      <c r="BL8" s="157">
        <f>C8+D8+E8+F8+G8+H8+I8+J8+K8+L8+M8+N8</f>
        <v/>
      </c>
      <c r="BM8" s="157">
        <f>O8+P8+Q8+R8+S8+T8+U8+V8+W8+X8+Y8+Z8</f>
        <v/>
      </c>
      <c r="BN8" s="157">
        <f>AA8+AB8+AC8+AD8+AE8+AF8+AG8+AH8+AI8+AJ8+AK8+AL8</f>
        <v/>
      </c>
      <c r="BO8" s="157">
        <f>AM8+AN8+AO8+AP8+AQ8+AR8+AS8+AT8+AU8+AV8+AW8+AX8</f>
        <v/>
      </c>
      <c r="BP8" s="157">
        <f>AY8+AZ8+BA8+BB8+BC8+BD8+BE8+BF8+BG8+BH8+BI8+BJ8</f>
        <v/>
      </c>
      <c r="BQ8" s="155" t="n"/>
    </row>
    <row r="9" ht="15" customHeight="1" s="104">
      <c r="A9" s="158" t="inlineStr">
        <is>
          <t xml:space="preserve">        % of Revenue</t>
        </is>
      </c>
      <c r="B9" s="155" t="n"/>
      <c r="C9" s="159">
        <f>IF(C6=0,0,C8/C6)</f>
        <v/>
      </c>
      <c r="D9" s="159">
        <f>IF(D6=0,0,D8/D6)</f>
        <v/>
      </c>
      <c r="E9" s="159">
        <f>IF(E6=0,0,E8/E6)</f>
        <v/>
      </c>
      <c r="F9" s="159">
        <f>IF(F6=0,0,F8/F6)</f>
        <v/>
      </c>
      <c r="G9" s="159">
        <f>IF(G6=0,0,G8/G6)</f>
        <v/>
      </c>
      <c r="H9" s="159">
        <f>IF(H6=0,0,H8/H6)</f>
        <v/>
      </c>
      <c r="I9" s="159">
        <f>IF(I6=0,0,I8/I6)</f>
        <v/>
      </c>
      <c r="J9" s="159">
        <f>IF(J6=0,0,J8/J6)</f>
        <v/>
      </c>
      <c r="K9" s="159">
        <f>IF(K6=0,0,K8/K6)</f>
        <v/>
      </c>
      <c r="L9" s="159">
        <f>IF(L6=0,0,L8/L6)</f>
        <v/>
      </c>
      <c r="M9" s="159">
        <f>IF(M6=0,0,M8/M6)</f>
        <v/>
      </c>
      <c r="N9" s="159">
        <f>IF(N6=0,0,N8/N6)</f>
        <v/>
      </c>
      <c r="O9" s="159">
        <f>IF(O6=0,0,O8/O6)</f>
        <v/>
      </c>
      <c r="P9" s="159">
        <f>IF(P6=0,0,P8/P6)</f>
        <v/>
      </c>
      <c r="Q9" s="159">
        <f>IF(Q6=0,0,Q8/Q6)</f>
        <v/>
      </c>
      <c r="R9" s="159">
        <f>IF(R6=0,0,R8/R6)</f>
        <v/>
      </c>
      <c r="S9" s="159">
        <f>IF(S6=0,0,S8/S6)</f>
        <v/>
      </c>
      <c r="T9" s="159">
        <f>IF(T6=0,0,T8/T6)</f>
        <v/>
      </c>
      <c r="U9" s="159">
        <f>IF(U6=0,0,U8/U6)</f>
        <v/>
      </c>
      <c r="V9" s="159">
        <f>IF(V6=0,0,V8/V6)</f>
        <v/>
      </c>
      <c r="W9" s="159">
        <f>IF(W6=0,0,W8/W6)</f>
        <v/>
      </c>
      <c r="X9" s="159">
        <f>IF(X6=0,0,X8/X6)</f>
        <v/>
      </c>
      <c r="Y9" s="159">
        <f>IF(Y6=0,0,Y8/Y6)</f>
        <v/>
      </c>
      <c r="Z9" s="159">
        <f>IF(Z6=0,0,Z8/Z6)</f>
        <v/>
      </c>
      <c r="AA9" s="159">
        <f>IF(AA6=0,0,AA8/AA6)</f>
        <v/>
      </c>
      <c r="AB9" s="159">
        <f>IF(AB6=0,0,AB8/AB6)</f>
        <v/>
      </c>
      <c r="AC9" s="159">
        <f>IF(AC6=0,0,AC8/AC6)</f>
        <v/>
      </c>
      <c r="AD9" s="159">
        <f>IF(AD6=0,0,AD8/AD6)</f>
        <v/>
      </c>
      <c r="AE9" s="159">
        <f>IF(AE6=0,0,AE8/AE6)</f>
        <v/>
      </c>
      <c r="AF9" s="159">
        <f>IF(AF6=0,0,AF8/AF6)</f>
        <v/>
      </c>
      <c r="AG9" s="159">
        <f>IF(AG6=0,0,AG8/AG6)</f>
        <v/>
      </c>
      <c r="AH9" s="159">
        <f>IF(AH6=0,0,AH8/AH6)</f>
        <v/>
      </c>
      <c r="AI9" s="159">
        <f>IF(AI6=0,0,AI8/AI6)</f>
        <v/>
      </c>
      <c r="AJ9" s="159">
        <f>IF(AJ6=0,0,AJ8/AJ6)</f>
        <v/>
      </c>
      <c r="AK9" s="159">
        <f>IF(AK6=0,0,AK8/AK6)</f>
        <v/>
      </c>
      <c r="AL9" s="159">
        <f>IF(AL6=0,0,AL8/AL6)</f>
        <v/>
      </c>
      <c r="AM9" s="159">
        <f>IF(AM6=0,0,AM8/AM6)</f>
        <v/>
      </c>
      <c r="AN9" s="159">
        <f>IF(AN6=0,0,AN8/AN6)</f>
        <v/>
      </c>
      <c r="AO9" s="159">
        <f>IF(AO6=0,0,AO8/AO6)</f>
        <v/>
      </c>
      <c r="AP9" s="159">
        <f>IF(AP6=0,0,AP8/AP6)</f>
        <v/>
      </c>
      <c r="AQ9" s="159">
        <f>IF(AQ6=0,0,AQ8/AQ6)</f>
        <v/>
      </c>
      <c r="AR9" s="159">
        <f>IF(AR6=0,0,AR8/AR6)</f>
        <v/>
      </c>
      <c r="AS9" s="159">
        <f>IF(AS6=0,0,AS8/AS6)</f>
        <v/>
      </c>
      <c r="AT9" s="159">
        <f>IF(AT6=0,0,AT8/AT6)</f>
        <v/>
      </c>
      <c r="AU9" s="159">
        <f>IF(AU6=0,0,AU8/AU6)</f>
        <v/>
      </c>
      <c r="AV9" s="159">
        <f>IF(AV6=0,0,AV8/AV6)</f>
        <v/>
      </c>
      <c r="AW9" s="159">
        <f>IF(AW6=0,0,AW8/AW6)</f>
        <v/>
      </c>
      <c r="AX9" s="159">
        <f>IF(AX6=0,0,AX8/AX6)</f>
        <v/>
      </c>
      <c r="AY9" s="159">
        <f>IF(AY6=0,0,AY8/AY6)</f>
        <v/>
      </c>
      <c r="AZ9" s="159">
        <f>IF(AZ6=0,0,AZ8/AZ6)</f>
        <v/>
      </c>
      <c r="BA9" s="159">
        <f>IF(BA6=0,0,BA8/BA6)</f>
        <v/>
      </c>
      <c r="BB9" s="159">
        <f>IF(BB6=0,0,BB8/BB6)</f>
        <v/>
      </c>
      <c r="BC9" s="159">
        <f>IF(BC6=0,0,BC8/BC6)</f>
        <v/>
      </c>
      <c r="BD9" s="159">
        <f>IF(BD6=0,0,BD8/BD6)</f>
        <v/>
      </c>
      <c r="BE9" s="159">
        <f>IF(BE6=0,0,BE8/BE6)</f>
        <v/>
      </c>
      <c r="BF9" s="159">
        <f>IF(BF6=0,0,BF8/BF6)</f>
        <v/>
      </c>
      <c r="BG9" s="159">
        <f>IF(BG6=0,0,BG8/BG6)</f>
        <v/>
      </c>
      <c r="BH9" s="159">
        <f>IF(BH6=0,0,BH8/BH6)</f>
        <v/>
      </c>
      <c r="BI9" s="159">
        <f>IF(BI6=0,0,BI8/BI6)</f>
        <v/>
      </c>
      <c r="BJ9" s="159">
        <f>IF(BJ6=0,0,BJ8/BJ6)</f>
        <v/>
      </c>
      <c r="BK9" s="155" t="n"/>
      <c r="BL9" s="160">
        <f>IF((C6+D6+E6+F6+G6+H6+I6+J6+K6+L6+M6+N6)=0,0,(C8+D8+E8+F8+G8+H8+I8+J8+K8+L8+M8+N8)/(C6+D6+E6+F6+G6+H6+I6+J6+K6+L6+M6+N6))</f>
        <v/>
      </c>
      <c r="BM9" s="160">
        <f>IF((O6+P6+Q6+R6+S6+T6+U6+V6+W6+X6+Y6+Z6)=0,0,(O8+P8+Q8+R8+S8+T8+U8+V8+W8+X8+Y8+Z8)/(O6+P6+Q6+R6+S6+T6+U6+V6+W6+X6+Y6+Z6))</f>
        <v/>
      </c>
      <c r="BN9" s="160">
        <f>IF((AA6+AB6+AC6+AD6+AE6+AF6+AG6+AH6+AI6+AJ6+AK6+AL6)=0,0,(AA8+AB8+AC8+AD8+AE8+AF8+AG8+AH8+AI8+AJ8+AK8+AL8)/(AA6+AB6+AC6+AD6+AE6+AF6+AG6+AH6+AI6+AJ6+AK6+AL6))</f>
        <v/>
      </c>
      <c r="BO9" s="160">
        <f>IF((AM6+AN6+AO6+AP6+AQ6+AR6+AS6+AT6+AU6+AV6+AW6+AX6)=0,0,(AM8+AN8+AO8+AP8+AQ8+AR8+AS8+AT8+AU8+AV8+AW8+AX8)/(AM6+AN6+AO6+AP6+AQ6+AR6+AS6+AT6+AU6+AV6+AW6+AX6))</f>
        <v/>
      </c>
      <c r="BP9" s="160">
        <f>IF((AY6+AZ6+BA6+BB6+BC6+BD6+BE6+BF6+BG6+BH6+BI6+BJ6)=0,0,(AY8+AZ8+BA8+BB8+BC8+BD8+BE8+BF8+BG8+BH8+BI8+BJ8)/(AY6+AZ6+BA6+BB6+BC6+BD6+BE6+BF6+BG6+BH6+BI6+BJ6))</f>
        <v/>
      </c>
      <c r="BQ9" s="155" t="n"/>
    </row>
    <row r="10" ht="15" customHeight="1" s="104">
      <c r="A10" s="107" t="inlineStr">
        <is>
          <t xml:space="preserve">    Staff Compensation</t>
        </is>
      </c>
      <c r="B10" s="155" t="n"/>
      <c r="C10" s="156">
        <f>'Platform P&amp;L'!C10+'Add-On 1'!C10+'Add-On 2'!C10+'Add-On 3'!C10+'Add-On 4'!C10+'Add-On 5'!C10+'Add-On 6'!C10+'Add-On 7'!C10+'Add-On 8'!C10+'Add-On 9'!C10+'Add-On 10'!C10</f>
        <v/>
      </c>
      <c r="D10" s="156">
        <f>'Platform P&amp;L'!D10+'Add-On 1'!D10+'Add-On 2'!D10+'Add-On 3'!D10+'Add-On 4'!D10+'Add-On 5'!D10+'Add-On 6'!D10+'Add-On 7'!D10+'Add-On 8'!D10+'Add-On 9'!D10+'Add-On 10'!D10</f>
        <v/>
      </c>
      <c r="E10" s="156">
        <f>'Platform P&amp;L'!E10+'Add-On 1'!E10+'Add-On 2'!E10+'Add-On 3'!E10+'Add-On 4'!E10+'Add-On 5'!E10+'Add-On 6'!E10+'Add-On 7'!E10+'Add-On 8'!E10+'Add-On 9'!E10+'Add-On 10'!E10</f>
        <v/>
      </c>
      <c r="F10" s="156">
        <f>'Platform P&amp;L'!F10+'Add-On 1'!F10+'Add-On 2'!F10+'Add-On 3'!F10+'Add-On 4'!F10+'Add-On 5'!F10+'Add-On 6'!F10+'Add-On 7'!F10+'Add-On 8'!F10+'Add-On 9'!F10+'Add-On 10'!F10</f>
        <v/>
      </c>
      <c r="G10" s="156">
        <f>'Platform P&amp;L'!G10+'Add-On 1'!G10+'Add-On 2'!G10+'Add-On 3'!G10+'Add-On 4'!G10+'Add-On 5'!G10+'Add-On 6'!G10+'Add-On 7'!G10+'Add-On 8'!G10+'Add-On 9'!G10+'Add-On 10'!G10</f>
        <v/>
      </c>
      <c r="H10" s="156">
        <f>'Platform P&amp;L'!H10+'Add-On 1'!H10+'Add-On 2'!H10+'Add-On 3'!H10+'Add-On 4'!H10+'Add-On 5'!H10+'Add-On 6'!H10+'Add-On 7'!H10+'Add-On 8'!H10+'Add-On 9'!H10+'Add-On 10'!H10</f>
        <v/>
      </c>
      <c r="I10" s="156">
        <f>'Platform P&amp;L'!I10+'Add-On 1'!I10+'Add-On 2'!I10+'Add-On 3'!I10+'Add-On 4'!I10+'Add-On 5'!I10+'Add-On 6'!I10+'Add-On 7'!I10+'Add-On 8'!I10+'Add-On 9'!I10+'Add-On 10'!I10</f>
        <v/>
      </c>
      <c r="J10" s="156">
        <f>'Platform P&amp;L'!J10+'Add-On 1'!J10+'Add-On 2'!J10+'Add-On 3'!J10+'Add-On 4'!J10+'Add-On 5'!J10+'Add-On 6'!J10+'Add-On 7'!J10+'Add-On 8'!J10+'Add-On 9'!J10+'Add-On 10'!J10</f>
        <v/>
      </c>
      <c r="K10" s="156">
        <f>'Platform P&amp;L'!K10+'Add-On 1'!K10+'Add-On 2'!K10+'Add-On 3'!K10+'Add-On 4'!K10+'Add-On 5'!K10+'Add-On 6'!K10+'Add-On 7'!K10+'Add-On 8'!K10+'Add-On 9'!K10+'Add-On 10'!K10</f>
        <v/>
      </c>
      <c r="L10" s="156">
        <f>'Platform P&amp;L'!L10+'Add-On 1'!L10+'Add-On 2'!L10+'Add-On 3'!L10+'Add-On 4'!L10+'Add-On 5'!L10+'Add-On 6'!L10+'Add-On 7'!L10+'Add-On 8'!L10+'Add-On 9'!L10+'Add-On 10'!L10</f>
        <v/>
      </c>
      <c r="M10" s="156">
        <f>'Platform P&amp;L'!M10+'Add-On 1'!M10+'Add-On 2'!M10+'Add-On 3'!M10+'Add-On 4'!M10+'Add-On 5'!M10+'Add-On 6'!M10+'Add-On 7'!M10+'Add-On 8'!M10+'Add-On 9'!M10+'Add-On 10'!M10</f>
        <v/>
      </c>
      <c r="N10" s="156">
        <f>'Platform P&amp;L'!N10+'Add-On 1'!N10+'Add-On 2'!N10+'Add-On 3'!N10+'Add-On 4'!N10+'Add-On 5'!N10+'Add-On 6'!N10+'Add-On 7'!N10+'Add-On 8'!N10+'Add-On 9'!N10+'Add-On 10'!N10</f>
        <v/>
      </c>
      <c r="O10" s="156">
        <f>'Platform P&amp;L'!O10+'Add-On 1'!O10+'Add-On 2'!O10+'Add-On 3'!O10+'Add-On 4'!O10+'Add-On 5'!O10+'Add-On 6'!O10+'Add-On 7'!O10+'Add-On 8'!O10+'Add-On 9'!O10+'Add-On 10'!O10</f>
        <v/>
      </c>
      <c r="P10" s="156">
        <f>'Platform P&amp;L'!P10+'Add-On 1'!P10+'Add-On 2'!P10+'Add-On 3'!P10+'Add-On 4'!P10+'Add-On 5'!P10+'Add-On 6'!P10+'Add-On 7'!P10+'Add-On 8'!P10+'Add-On 9'!P10+'Add-On 10'!P10</f>
        <v/>
      </c>
      <c r="Q10" s="156">
        <f>'Platform P&amp;L'!Q10+'Add-On 1'!Q10+'Add-On 2'!Q10+'Add-On 3'!Q10+'Add-On 4'!Q10+'Add-On 5'!Q10+'Add-On 6'!Q10+'Add-On 7'!Q10+'Add-On 8'!Q10+'Add-On 9'!Q10+'Add-On 10'!Q10</f>
        <v/>
      </c>
      <c r="R10" s="156">
        <f>'Platform P&amp;L'!R10+'Add-On 1'!R10+'Add-On 2'!R10+'Add-On 3'!R10+'Add-On 4'!R10+'Add-On 5'!R10+'Add-On 6'!R10+'Add-On 7'!R10+'Add-On 8'!R10+'Add-On 9'!R10+'Add-On 10'!R10</f>
        <v/>
      </c>
      <c r="S10" s="156">
        <f>'Platform P&amp;L'!S10+'Add-On 1'!S10+'Add-On 2'!S10+'Add-On 3'!S10+'Add-On 4'!S10+'Add-On 5'!S10+'Add-On 6'!S10+'Add-On 7'!S10+'Add-On 8'!S10+'Add-On 9'!S10+'Add-On 10'!S10</f>
        <v/>
      </c>
      <c r="T10" s="156">
        <f>'Platform P&amp;L'!T10+'Add-On 1'!T10+'Add-On 2'!T10+'Add-On 3'!T10+'Add-On 4'!T10+'Add-On 5'!T10+'Add-On 6'!T10+'Add-On 7'!T10+'Add-On 8'!T10+'Add-On 9'!T10+'Add-On 10'!T10</f>
        <v/>
      </c>
      <c r="U10" s="156">
        <f>'Platform P&amp;L'!U10+'Add-On 1'!U10+'Add-On 2'!U10+'Add-On 3'!U10+'Add-On 4'!U10+'Add-On 5'!U10+'Add-On 6'!U10+'Add-On 7'!U10+'Add-On 8'!U10+'Add-On 9'!U10+'Add-On 10'!U10</f>
        <v/>
      </c>
      <c r="V10" s="156">
        <f>'Platform P&amp;L'!V10+'Add-On 1'!V10+'Add-On 2'!V10+'Add-On 3'!V10+'Add-On 4'!V10+'Add-On 5'!V10+'Add-On 6'!V10+'Add-On 7'!V10+'Add-On 8'!V10+'Add-On 9'!V10+'Add-On 10'!V10</f>
        <v/>
      </c>
      <c r="W10" s="156">
        <f>'Platform P&amp;L'!W10+'Add-On 1'!W10+'Add-On 2'!W10+'Add-On 3'!W10+'Add-On 4'!W10+'Add-On 5'!W10+'Add-On 6'!W10+'Add-On 7'!W10+'Add-On 8'!W10+'Add-On 9'!W10+'Add-On 10'!W10</f>
        <v/>
      </c>
      <c r="X10" s="156">
        <f>'Platform P&amp;L'!X10+'Add-On 1'!X10+'Add-On 2'!X10+'Add-On 3'!X10+'Add-On 4'!X10+'Add-On 5'!X10+'Add-On 6'!X10+'Add-On 7'!X10+'Add-On 8'!X10+'Add-On 9'!X10+'Add-On 10'!X10</f>
        <v/>
      </c>
      <c r="Y10" s="156">
        <f>'Platform P&amp;L'!Y10+'Add-On 1'!Y10+'Add-On 2'!Y10+'Add-On 3'!Y10+'Add-On 4'!Y10+'Add-On 5'!Y10+'Add-On 6'!Y10+'Add-On 7'!Y10+'Add-On 8'!Y10+'Add-On 9'!Y10+'Add-On 10'!Y10</f>
        <v/>
      </c>
      <c r="Z10" s="156">
        <f>'Platform P&amp;L'!Z10+'Add-On 1'!Z10+'Add-On 2'!Z10+'Add-On 3'!Z10+'Add-On 4'!Z10+'Add-On 5'!Z10+'Add-On 6'!Z10+'Add-On 7'!Z10+'Add-On 8'!Z10+'Add-On 9'!Z10+'Add-On 10'!Z10</f>
        <v/>
      </c>
      <c r="AA10" s="156">
        <f>'Platform P&amp;L'!AA10+'Add-On 1'!AA10+'Add-On 2'!AA10+'Add-On 3'!AA10+'Add-On 4'!AA10+'Add-On 5'!AA10+'Add-On 6'!AA10+'Add-On 7'!AA10+'Add-On 8'!AA10+'Add-On 9'!AA10+'Add-On 10'!AA10</f>
        <v/>
      </c>
      <c r="AB10" s="156">
        <f>'Platform P&amp;L'!AB10+'Add-On 1'!AB10+'Add-On 2'!AB10+'Add-On 3'!AB10+'Add-On 4'!AB10+'Add-On 5'!AB10+'Add-On 6'!AB10+'Add-On 7'!AB10+'Add-On 8'!AB10+'Add-On 9'!AB10+'Add-On 10'!AB10</f>
        <v/>
      </c>
      <c r="AC10" s="156">
        <f>'Platform P&amp;L'!AC10+'Add-On 1'!AC10+'Add-On 2'!AC10+'Add-On 3'!AC10+'Add-On 4'!AC10+'Add-On 5'!AC10+'Add-On 6'!AC10+'Add-On 7'!AC10+'Add-On 8'!AC10+'Add-On 9'!AC10+'Add-On 10'!AC10</f>
        <v/>
      </c>
      <c r="AD10" s="156">
        <f>'Platform P&amp;L'!AD10+'Add-On 1'!AD10+'Add-On 2'!AD10+'Add-On 3'!AD10+'Add-On 4'!AD10+'Add-On 5'!AD10+'Add-On 6'!AD10+'Add-On 7'!AD10+'Add-On 8'!AD10+'Add-On 9'!AD10+'Add-On 10'!AD10</f>
        <v/>
      </c>
      <c r="AE10" s="156">
        <f>'Platform P&amp;L'!AE10+'Add-On 1'!AE10+'Add-On 2'!AE10+'Add-On 3'!AE10+'Add-On 4'!AE10+'Add-On 5'!AE10+'Add-On 6'!AE10+'Add-On 7'!AE10+'Add-On 8'!AE10+'Add-On 9'!AE10+'Add-On 10'!AE10</f>
        <v/>
      </c>
      <c r="AF10" s="156">
        <f>'Platform P&amp;L'!AF10+'Add-On 1'!AF10+'Add-On 2'!AF10+'Add-On 3'!AF10+'Add-On 4'!AF10+'Add-On 5'!AF10+'Add-On 6'!AF10+'Add-On 7'!AF10+'Add-On 8'!AF10+'Add-On 9'!AF10+'Add-On 10'!AF10</f>
        <v/>
      </c>
      <c r="AG10" s="156">
        <f>'Platform P&amp;L'!AG10+'Add-On 1'!AG10+'Add-On 2'!AG10+'Add-On 3'!AG10+'Add-On 4'!AG10+'Add-On 5'!AG10+'Add-On 6'!AG10+'Add-On 7'!AG10+'Add-On 8'!AG10+'Add-On 9'!AG10+'Add-On 10'!AG10</f>
        <v/>
      </c>
      <c r="AH10" s="156">
        <f>'Platform P&amp;L'!AH10+'Add-On 1'!AH10+'Add-On 2'!AH10+'Add-On 3'!AH10+'Add-On 4'!AH10+'Add-On 5'!AH10+'Add-On 6'!AH10+'Add-On 7'!AH10+'Add-On 8'!AH10+'Add-On 9'!AH10+'Add-On 10'!AH10</f>
        <v/>
      </c>
      <c r="AI10" s="156">
        <f>'Platform P&amp;L'!AI10+'Add-On 1'!AI10+'Add-On 2'!AI10+'Add-On 3'!AI10+'Add-On 4'!AI10+'Add-On 5'!AI10+'Add-On 6'!AI10+'Add-On 7'!AI10+'Add-On 8'!AI10+'Add-On 9'!AI10+'Add-On 10'!AI10</f>
        <v/>
      </c>
      <c r="AJ10" s="156">
        <f>'Platform P&amp;L'!AJ10+'Add-On 1'!AJ10+'Add-On 2'!AJ10+'Add-On 3'!AJ10+'Add-On 4'!AJ10+'Add-On 5'!AJ10+'Add-On 6'!AJ10+'Add-On 7'!AJ10+'Add-On 8'!AJ10+'Add-On 9'!AJ10+'Add-On 10'!AJ10</f>
        <v/>
      </c>
      <c r="AK10" s="156">
        <f>'Platform P&amp;L'!AK10+'Add-On 1'!AK10+'Add-On 2'!AK10+'Add-On 3'!AK10+'Add-On 4'!AK10+'Add-On 5'!AK10+'Add-On 6'!AK10+'Add-On 7'!AK10+'Add-On 8'!AK10+'Add-On 9'!AK10+'Add-On 10'!AK10</f>
        <v/>
      </c>
      <c r="AL10" s="156">
        <f>'Platform P&amp;L'!AL10+'Add-On 1'!AL10+'Add-On 2'!AL10+'Add-On 3'!AL10+'Add-On 4'!AL10+'Add-On 5'!AL10+'Add-On 6'!AL10+'Add-On 7'!AL10+'Add-On 8'!AL10+'Add-On 9'!AL10+'Add-On 10'!AL10</f>
        <v/>
      </c>
      <c r="AM10" s="156">
        <f>'Platform P&amp;L'!AM10+'Add-On 1'!AM10+'Add-On 2'!AM10+'Add-On 3'!AM10+'Add-On 4'!AM10+'Add-On 5'!AM10+'Add-On 6'!AM10+'Add-On 7'!AM10+'Add-On 8'!AM10+'Add-On 9'!AM10+'Add-On 10'!AM10</f>
        <v/>
      </c>
      <c r="AN10" s="156">
        <f>'Platform P&amp;L'!AN10+'Add-On 1'!AN10+'Add-On 2'!AN10+'Add-On 3'!AN10+'Add-On 4'!AN10+'Add-On 5'!AN10+'Add-On 6'!AN10+'Add-On 7'!AN10+'Add-On 8'!AN10+'Add-On 9'!AN10+'Add-On 10'!AN10</f>
        <v/>
      </c>
      <c r="AO10" s="156">
        <f>'Platform P&amp;L'!AO10+'Add-On 1'!AO10+'Add-On 2'!AO10+'Add-On 3'!AO10+'Add-On 4'!AO10+'Add-On 5'!AO10+'Add-On 6'!AO10+'Add-On 7'!AO10+'Add-On 8'!AO10+'Add-On 9'!AO10+'Add-On 10'!AO10</f>
        <v/>
      </c>
      <c r="AP10" s="156">
        <f>'Platform P&amp;L'!AP10+'Add-On 1'!AP10+'Add-On 2'!AP10+'Add-On 3'!AP10+'Add-On 4'!AP10+'Add-On 5'!AP10+'Add-On 6'!AP10+'Add-On 7'!AP10+'Add-On 8'!AP10+'Add-On 9'!AP10+'Add-On 10'!AP10</f>
        <v/>
      </c>
      <c r="AQ10" s="156">
        <f>'Platform P&amp;L'!AQ10+'Add-On 1'!AQ10+'Add-On 2'!AQ10+'Add-On 3'!AQ10+'Add-On 4'!AQ10+'Add-On 5'!AQ10+'Add-On 6'!AQ10+'Add-On 7'!AQ10+'Add-On 8'!AQ10+'Add-On 9'!AQ10+'Add-On 10'!AQ10</f>
        <v/>
      </c>
      <c r="AR10" s="156">
        <f>'Platform P&amp;L'!AR10+'Add-On 1'!AR10+'Add-On 2'!AR10+'Add-On 3'!AR10+'Add-On 4'!AR10+'Add-On 5'!AR10+'Add-On 6'!AR10+'Add-On 7'!AR10+'Add-On 8'!AR10+'Add-On 9'!AR10+'Add-On 10'!AR10</f>
        <v/>
      </c>
      <c r="AS10" s="156">
        <f>'Platform P&amp;L'!AS10+'Add-On 1'!AS10+'Add-On 2'!AS10+'Add-On 3'!AS10+'Add-On 4'!AS10+'Add-On 5'!AS10+'Add-On 6'!AS10+'Add-On 7'!AS10+'Add-On 8'!AS10+'Add-On 9'!AS10+'Add-On 10'!AS10</f>
        <v/>
      </c>
      <c r="AT10" s="156">
        <f>'Platform P&amp;L'!AT10+'Add-On 1'!AT10+'Add-On 2'!AT10+'Add-On 3'!AT10+'Add-On 4'!AT10+'Add-On 5'!AT10+'Add-On 6'!AT10+'Add-On 7'!AT10+'Add-On 8'!AT10+'Add-On 9'!AT10+'Add-On 10'!AT10</f>
        <v/>
      </c>
      <c r="AU10" s="156">
        <f>'Platform P&amp;L'!AU10+'Add-On 1'!AU10+'Add-On 2'!AU10+'Add-On 3'!AU10+'Add-On 4'!AU10+'Add-On 5'!AU10+'Add-On 6'!AU10+'Add-On 7'!AU10+'Add-On 8'!AU10+'Add-On 9'!AU10+'Add-On 10'!AU10</f>
        <v/>
      </c>
      <c r="AV10" s="156">
        <f>'Platform P&amp;L'!AV10+'Add-On 1'!AV10+'Add-On 2'!AV10+'Add-On 3'!AV10+'Add-On 4'!AV10+'Add-On 5'!AV10+'Add-On 6'!AV10+'Add-On 7'!AV10+'Add-On 8'!AV10+'Add-On 9'!AV10+'Add-On 10'!AV10</f>
        <v/>
      </c>
      <c r="AW10" s="156">
        <f>'Platform P&amp;L'!AW10+'Add-On 1'!AW10+'Add-On 2'!AW10+'Add-On 3'!AW10+'Add-On 4'!AW10+'Add-On 5'!AW10+'Add-On 6'!AW10+'Add-On 7'!AW10+'Add-On 8'!AW10+'Add-On 9'!AW10+'Add-On 10'!AW10</f>
        <v/>
      </c>
      <c r="AX10" s="156">
        <f>'Platform P&amp;L'!AX10+'Add-On 1'!AX10+'Add-On 2'!AX10+'Add-On 3'!AX10+'Add-On 4'!AX10+'Add-On 5'!AX10+'Add-On 6'!AX10+'Add-On 7'!AX10+'Add-On 8'!AX10+'Add-On 9'!AX10+'Add-On 10'!AX10</f>
        <v/>
      </c>
      <c r="AY10" s="156">
        <f>'Platform P&amp;L'!AY10+'Add-On 1'!AY10+'Add-On 2'!AY10+'Add-On 3'!AY10+'Add-On 4'!AY10+'Add-On 5'!AY10+'Add-On 6'!AY10+'Add-On 7'!AY10+'Add-On 8'!AY10+'Add-On 9'!AY10+'Add-On 10'!AY10</f>
        <v/>
      </c>
      <c r="AZ10" s="156">
        <f>'Platform P&amp;L'!AZ10+'Add-On 1'!AZ10+'Add-On 2'!AZ10+'Add-On 3'!AZ10+'Add-On 4'!AZ10+'Add-On 5'!AZ10+'Add-On 6'!AZ10+'Add-On 7'!AZ10+'Add-On 8'!AZ10+'Add-On 9'!AZ10+'Add-On 10'!AZ10</f>
        <v/>
      </c>
      <c r="BA10" s="156">
        <f>'Platform P&amp;L'!BA10+'Add-On 1'!BA10+'Add-On 2'!BA10+'Add-On 3'!BA10+'Add-On 4'!BA10+'Add-On 5'!BA10+'Add-On 6'!BA10+'Add-On 7'!BA10+'Add-On 8'!BA10+'Add-On 9'!BA10+'Add-On 10'!BA10</f>
        <v/>
      </c>
      <c r="BB10" s="156">
        <f>'Platform P&amp;L'!BB10+'Add-On 1'!BB10+'Add-On 2'!BB10+'Add-On 3'!BB10+'Add-On 4'!BB10+'Add-On 5'!BB10+'Add-On 6'!BB10+'Add-On 7'!BB10+'Add-On 8'!BB10+'Add-On 9'!BB10+'Add-On 10'!BB10</f>
        <v/>
      </c>
      <c r="BC10" s="156">
        <f>'Platform P&amp;L'!BC10+'Add-On 1'!BC10+'Add-On 2'!BC10+'Add-On 3'!BC10+'Add-On 4'!BC10+'Add-On 5'!BC10+'Add-On 6'!BC10+'Add-On 7'!BC10+'Add-On 8'!BC10+'Add-On 9'!BC10+'Add-On 10'!BC10</f>
        <v/>
      </c>
      <c r="BD10" s="156">
        <f>'Platform P&amp;L'!BD10+'Add-On 1'!BD10+'Add-On 2'!BD10+'Add-On 3'!BD10+'Add-On 4'!BD10+'Add-On 5'!BD10+'Add-On 6'!BD10+'Add-On 7'!BD10+'Add-On 8'!BD10+'Add-On 9'!BD10+'Add-On 10'!BD10</f>
        <v/>
      </c>
      <c r="BE10" s="156">
        <f>'Platform P&amp;L'!BE10+'Add-On 1'!BE10+'Add-On 2'!BE10+'Add-On 3'!BE10+'Add-On 4'!BE10+'Add-On 5'!BE10+'Add-On 6'!BE10+'Add-On 7'!BE10+'Add-On 8'!BE10+'Add-On 9'!BE10+'Add-On 10'!BE10</f>
        <v/>
      </c>
      <c r="BF10" s="156">
        <f>'Platform P&amp;L'!BF10+'Add-On 1'!BF10+'Add-On 2'!BF10+'Add-On 3'!BF10+'Add-On 4'!BF10+'Add-On 5'!BF10+'Add-On 6'!BF10+'Add-On 7'!BF10+'Add-On 8'!BF10+'Add-On 9'!BF10+'Add-On 10'!BF10</f>
        <v/>
      </c>
      <c r="BG10" s="156">
        <f>'Platform P&amp;L'!BG10+'Add-On 1'!BG10+'Add-On 2'!BG10+'Add-On 3'!BG10+'Add-On 4'!BG10+'Add-On 5'!BG10+'Add-On 6'!BG10+'Add-On 7'!BG10+'Add-On 8'!BG10+'Add-On 9'!BG10+'Add-On 10'!BG10</f>
        <v/>
      </c>
      <c r="BH10" s="156">
        <f>'Platform P&amp;L'!BH10+'Add-On 1'!BH10+'Add-On 2'!BH10+'Add-On 3'!BH10+'Add-On 4'!BH10+'Add-On 5'!BH10+'Add-On 6'!BH10+'Add-On 7'!BH10+'Add-On 8'!BH10+'Add-On 9'!BH10+'Add-On 10'!BH10</f>
        <v/>
      </c>
      <c r="BI10" s="156">
        <f>'Platform P&amp;L'!BI10+'Add-On 1'!BI10+'Add-On 2'!BI10+'Add-On 3'!BI10+'Add-On 4'!BI10+'Add-On 5'!BI10+'Add-On 6'!BI10+'Add-On 7'!BI10+'Add-On 8'!BI10+'Add-On 9'!BI10+'Add-On 10'!BI10</f>
        <v/>
      </c>
      <c r="BJ10" s="156">
        <f>'Platform P&amp;L'!BJ10+'Add-On 1'!BJ10+'Add-On 2'!BJ10+'Add-On 3'!BJ10+'Add-On 4'!BJ10+'Add-On 5'!BJ10+'Add-On 6'!BJ10+'Add-On 7'!BJ10+'Add-On 8'!BJ10+'Add-On 9'!BJ10+'Add-On 10'!BJ10</f>
        <v/>
      </c>
      <c r="BK10" s="155" t="n"/>
      <c r="BL10" s="157">
        <f>C10+D10+E10+F10+G10+H10+I10+J10+K10+L10+M10+N10</f>
        <v/>
      </c>
      <c r="BM10" s="157">
        <f>O10+P10+Q10+R10+S10+T10+U10+V10+W10+X10+Y10+Z10</f>
        <v/>
      </c>
      <c r="BN10" s="157">
        <f>AA10+AB10+AC10+AD10+AE10+AF10+AG10+AH10+AI10+AJ10+AK10+AL10</f>
        <v/>
      </c>
      <c r="BO10" s="157">
        <f>AM10+AN10+AO10+AP10+AQ10+AR10+AS10+AT10+AU10+AV10+AW10+AX10</f>
        <v/>
      </c>
      <c r="BP10" s="157">
        <f>AY10+AZ10+BA10+BB10+BC10+BD10+BE10+BF10+BG10+BH10+BI10+BJ10</f>
        <v/>
      </c>
      <c r="BQ10" s="155" t="n"/>
    </row>
    <row r="11" ht="15" customHeight="1" s="104">
      <c r="A11" s="158" t="inlineStr">
        <is>
          <t xml:space="preserve">        % of Revenue</t>
        </is>
      </c>
      <c r="B11" s="155" t="n"/>
      <c r="C11" s="159">
        <f>IF(C6=0,0,C10/C6)</f>
        <v/>
      </c>
      <c r="D11" s="159">
        <f>IF(D6=0,0,D10/D6)</f>
        <v/>
      </c>
      <c r="E11" s="159">
        <f>IF(E6=0,0,E10/E6)</f>
        <v/>
      </c>
      <c r="F11" s="159">
        <f>IF(F6=0,0,F10/F6)</f>
        <v/>
      </c>
      <c r="G11" s="159">
        <f>IF(G6=0,0,G10/G6)</f>
        <v/>
      </c>
      <c r="H11" s="159">
        <f>IF(H6=0,0,H10/H6)</f>
        <v/>
      </c>
      <c r="I11" s="159">
        <f>IF(I6=0,0,I10/I6)</f>
        <v/>
      </c>
      <c r="J11" s="159">
        <f>IF(J6=0,0,J10/J6)</f>
        <v/>
      </c>
      <c r="K11" s="159">
        <f>IF(K6=0,0,K10/K6)</f>
        <v/>
      </c>
      <c r="L11" s="159">
        <f>IF(L6=0,0,L10/L6)</f>
        <v/>
      </c>
      <c r="M11" s="159">
        <f>IF(M6=0,0,M10/M6)</f>
        <v/>
      </c>
      <c r="N11" s="159">
        <f>IF(N6=0,0,N10/N6)</f>
        <v/>
      </c>
      <c r="O11" s="159">
        <f>IF(O6=0,0,O10/O6)</f>
        <v/>
      </c>
      <c r="P11" s="159">
        <f>IF(P6=0,0,P10/P6)</f>
        <v/>
      </c>
      <c r="Q11" s="159">
        <f>IF(Q6=0,0,Q10/Q6)</f>
        <v/>
      </c>
      <c r="R11" s="159">
        <f>IF(R6=0,0,R10/R6)</f>
        <v/>
      </c>
      <c r="S11" s="159">
        <f>IF(S6=0,0,S10/S6)</f>
        <v/>
      </c>
      <c r="T11" s="159">
        <f>IF(T6=0,0,T10/T6)</f>
        <v/>
      </c>
      <c r="U11" s="159">
        <f>IF(U6=0,0,U10/U6)</f>
        <v/>
      </c>
      <c r="V11" s="159">
        <f>IF(V6=0,0,V10/V6)</f>
        <v/>
      </c>
      <c r="W11" s="159">
        <f>IF(W6=0,0,W10/W6)</f>
        <v/>
      </c>
      <c r="X11" s="159">
        <f>IF(X6=0,0,X10/X6)</f>
        <v/>
      </c>
      <c r="Y11" s="159">
        <f>IF(Y6=0,0,Y10/Y6)</f>
        <v/>
      </c>
      <c r="Z11" s="159">
        <f>IF(Z6=0,0,Z10/Z6)</f>
        <v/>
      </c>
      <c r="AA11" s="159">
        <f>IF(AA6=0,0,AA10/AA6)</f>
        <v/>
      </c>
      <c r="AB11" s="159">
        <f>IF(AB6=0,0,AB10/AB6)</f>
        <v/>
      </c>
      <c r="AC11" s="159">
        <f>IF(AC6=0,0,AC10/AC6)</f>
        <v/>
      </c>
      <c r="AD11" s="159">
        <f>IF(AD6=0,0,AD10/AD6)</f>
        <v/>
      </c>
      <c r="AE11" s="159">
        <f>IF(AE6=0,0,AE10/AE6)</f>
        <v/>
      </c>
      <c r="AF11" s="159">
        <f>IF(AF6=0,0,AF10/AF6)</f>
        <v/>
      </c>
      <c r="AG11" s="159">
        <f>IF(AG6=0,0,AG10/AG6)</f>
        <v/>
      </c>
      <c r="AH11" s="159">
        <f>IF(AH6=0,0,AH10/AH6)</f>
        <v/>
      </c>
      <c r="AI11" s="159">
        <f>IF(AI6=0,0,AI10/AI6)</f>
        <v/>
      </c>
      <c r="AJ11" s="159">
        <f>IF(AJ6=0,0,AJ10/AJ6)</f>
        <v/>
      </c>
      <c r="AK11" s="159">
        <f>IF(AK6=0,0,AK10/AK6)</f>
        <v/>
      </c>
      <c r="AL11" s="159">
        <f>IF(AL6=0,0,AL10/AL6)</f>
        <v/>
      </c>
      <c r="AM11" s="159">
        <f>IF(AM6=0,0,AM10/AM6)</f>
        <v/>
      </c>
      <c r="AN11" s="159">
        <f>IF(AN6=0,0,AN10/AN6)</f>
        <v/>
      </c>
      <c r="AO11" s="159">
        <f>IF(AO6=0,0,AO10/AO6)</f>
        <v/>
      </c>
      <c r="AP11" s="159">
        <f>IF(AP6=0,0,AP10/AP6)</f>
        <v/>
      </c>
      <c r="AQ11" s="159">
        <f>IF(AQ6=0,0,AQ10/AQ6)</f>
        <v/>
      </c>
      <c r="AR11" s="159">
        <f>IF(AR6=0,0,AR10/AR6)</f>
        <v/>
      </c>
      <c r="AS11" s="159">
        <f>IF(AS6=0,0,AS10/AS6)</f>
        <v/>
      </c>
      <c r="AT11" s="159">
        <f>IF(AT6=0,0,AT10/AT6)</f>
        <v/>
      </c>
      <c r="AU11" s="159">
        <f>IF(AU6=0,0,AU10/AU6)</f>
        <v/>
      </c>
      <c r="AV11" s="159">
        <f>IF(AV6=0,0,AV10/AV6)</f>
        <v/>
      </c>
      <c r="AW11" s="159">
        <f>IF(AW6=0,0,AW10/AW6)</f>
        <v/>
      </c>
      <c r="AX11" s="159">
        <f>IF(AX6=0,0,AX10/AX6)</f>
        <v/>
      </c>
      <c r="AY11" s="159">
        <f>IF(AY6=0,0,AY10/AY6)</f>
        <v/>
      </c>
      <c r="AZ11" s="159">
        <f>IF(AZ6=0,0,AZ10/AZ6)</f>
        <v/>
      </c>
      <c r="BA11" s="159">
        <f>IF(BA6=0,0,BA10/BA6)</f>
        <v/>
      </c>
      <c r="BB11" s="159">
        <f>IF(BB6=0,0,BB10/BB6)</f>
        <v/>
      </c>
      <c r="BC11" s="159">
        <f>IF(BC6=0,0,BC10/BC6)</f>
        <v/>
      </c>
      <c r="BD11" s="159">
        <f>IF(BD6=0,0,BD10/BD6)</f>
        <v/>
      </c>
      <c r="BE11" s="159">
        <f>IF(BE6=0,0,BE10/BE6)</f>
        <v/>
      </c>
      <c r="BF11" s="159">
        <f>IF(BF6=0,0,BF10/BF6)</f>
        <v/>
      </c>
      <c r="BG11" s="159">
        <f>IF(BG6=0,0,BG10/BG6)</f>
        <v/>
      </c>
      <c r="BH11" s="159">
        <f>IF(BH6=0,0,BH10/BH6)</f>
        <v/>
      </c>
      <c r="BI11" s="159">
        <f>IF(BI6=0,0,BI10/BI6)</f>
        <v/>
      </c>
      <c r="BJ11" s="159">
        <f>IF(BJ6=0,0,BJ10/BJ6)</f>
        <v/>
      </c>
      <c r="BK11" s="155" t="n"/>
      <c r="BL11" s="160">
        <f>IF((C6+D6+E6+F6+G6+H6+I6+J6+K6+L6+M6+N6)=0,0,(C10+D10+E10+F10+G10+H10+I10+J10+K10+L10+M10+N10)/(C6+D6+E6+F6+G6+H6+I6+J6+K6+L6+M6+N6))</f>
        <v/>
      </c>
      <c r="BM11" s="160">
        <f>IF((O6+P6+Q6+R6+S6+T6+U6+V6+W6+X6+Y6+Z6)=0,0,(O10+P10+Q10+R10+S10+T10+U10+V10+W10+X10+Y10+Z10)/(O6+P6+Q6+R6+S6+T6+U6+V6+W6+X6+Y6+Z6))</f>
        <v/>
      </c>
      <c r="BN11" s="160">
        <f>IF((AA6+AB6+AC6+AD6+AE6+AF6+AG6+AH6+AI6+AJ6+AK6+AL6)=0,0,(AA10+AB10+AC10+AD10+AE10+AF10+AG10+AH10+AI10+AJ10+AK10+AL10)/(AA6+AB6+AC6+AD6+AE6+AF6+AG6+AH6+AI6+AJ6+AK6+AL6))</f>
        <v/>
      </c>
      <c r="BO11" s="160">
        <f>IF((AM6+AN6+AO6+AP6+AQ6+AR6+AS6+AT6+AU6+AV6+AW6+AX6)=0,0,(AM10+AN10+AO10+AP10+AQ10+AR10+AS10+AT10+AU10+AV10+AW10+AX10)/(AM6+AN6+AO6+AP6+AQ6+AR6+AS6+AT6+AU6+AV6+AW6+AX6))</f>
        <v/>
      </c>
      <c r="BP11" s="160">
        <f>IF((AY6+AZ6+BA6+BB6+BC6+BD6+BE6+BF6+BG6+BH6+BI6+BJ6)=0,0,(AY10+AZ10+BA10+BB10+BC10+BD10+BE10+BF10+BG10+BH10+BI10+BJ10)/(AY6+AZ6+BA6+BB6+BC6+BD6+BE6+BF6+BG6+BH6+BI6+BJ6))</f>
        <v/>
      </c>
      <c r="BQ11" s="155" t="n"/>
    </row>
    <row r="12" ht="15" customHeight="1" s="104">
      <c r="A12" s="107" t="inlineStr">
        <is>
          <t xml:space="preserve">    Occupancy &amp; Facilities</t>
        </is>
      </c>
      <c r="B12" s="155" t="n"/>
      <c r="C12" s="156">
        <f>'Platform P&amp;L'!C12+'Add-On 1'!C12+'Add-On 2'!C12+'Add-On 3'!C12+'Add-On 4'!C12+'Add-On 5'!C12+'Add-On 6'!C12+'Add-On 7'!C12+'Add-On 8'!C12+'Add-On 9'!C12+'Add-On 10'!C12</f>
        <v/>
      </c>
      <c r="D12" s="156">
        <f>'Platform P&amp;L'!D12+'Add-On 1'!D12+'Add-On 2'!D12+'Add-On 3'!D12+'Add-On 4'!D12+'Add-On 5'!D12+'Add-On 6'!D12+'Add-On 7'!D12+'Add-On 8'!D12+'Add-On 9'!D12+'Add-On 10'!D12</f>
        <v/>
      </c>
      <c r="E12" s="156">
        <f>'Platform P&amp;L'!E12+'Add-On 1'!E12+'Add-On 2'!E12+'Add-On 3'!E12+'Add-On 4'!E12+'Add-On 5'!E12+'Add-On 6'!E12+'Add-On 7'!E12+'Add-On 8'!E12+'Add-On 9'!E12+'Add-On 10'!E12</f>
        <v/>
      </c>
      <c r="F12" s="156">
        <f>'Platform P&amp;L'!F12+'Add-On 1'!F12+'Add-On 2'!F12+'Add-On 3'!F12+'Add-On 4'!F12+'Add-On 5'!F12+'Add-On 6'!F12+'Add-On 7'!F12+'Add-On 8'!F12+'Add-On 9'!F12+'Add-On 10'!F12</f>
        <v/>
      </c>
      <c r="G12" s="156">
        <f>'Platform P&amp;L'!G12+'Add-On 1'!G12+'Add-On 2'!G12+'Add-On 3'!G12+'Add-On 4'!G12+'Add-On 5'!G12+'Add-On 6'!G12+'Add-On 7'!G12+'Add-On 8'!G12+'Add-On 9'!G12+'Add-On 10'!G12</f>
        <v/>
      </c>
      <c r="H12" s="156">
        <f>'Platform P&amp;L'!H12+'Add-On 1'!H12+'Add-On 2'!H12+'Add-On 3'!H12+'Add-On 4'!H12+'Add-On 5'!H12+'Add-On 6'!H12+'Add-On 7'!H12+'Add-On 8'!H12+'Add-On 9'!H12+'Add-On 10'!H12</f>
        <v/>
      </c>
      <c r="I12" s="156">
        <f>'Platform P&amp;L'!I12+'Add-On 1'!I12+'Add-On 2'!I12+'Add-On 3'!I12+'Add-On 4'!I12+'Add-On 5'!I12+'Add-On 6'!I12+'Add-On 7'!I12+'Add-On 8'!I12+'Add-On 9'!I12+'Add-On 10'!I12</f>
        <v/>
      </c>
      <c r="J12" s="156">
        <f>'Platform P&amp;L'!J12+'Add-On 1'!J12+'Add-On 2'!J12+'Add-On 3'!J12+'Add-On 4'!J12+'Add-On 5'!J12+'Add-On 6'!J12+'Add-On 7'!J12+'Add-On 8'!J12+'Add-On 9'!J12+'Add-On 10'!J12</f>
        <v/>
      </c>
      <c r="K12" s="156">
        <f>'Platform P&amp;L'!K12+'Add-On 1'!K12+'Add-On 2'!K12+'Add-On 3'!K12+'Add-On 4'!K12+'Add-On 5'!K12+'Add-On 6'!K12+'Add-On 7'!K12+'Add-On 8'!K12+'Add-On 9'!K12+'Add-On 10'!K12</f>
        <v/>
      </c>
      <c r="L12" s="156">
        <f>'Platform P&amp;L'!L12+'Add-On 1'!L12+'Add-On 2'!L12+'Add-On 3'!L12+'Add-On 4'!L12+'Add-On 5'!L12+'Add-On 6'!L12+'Add-On 7'!L12+'Add-On 8'!L12+'Add-On 9'!L12+'Add-On 10'!L12</f>
        <v/>
      </c>
      <c r="M12" s="156">
        <f>'Platform P&amp;L'!M12+'Add-On 1'!M12+'Add-On 2'!M12+'Add-On 3'!M12+'Add-On 4'!M12+'Add-On 5'!M12+'Add-On 6'!M12+'Add-On 7'!M12+'Add-On 8'!M12+'Add-On 9'!M12+'Add-On 10'!M12</f>
        <v/>
      </c>
      <c r="N12" s="156">
        <f>'Platform P&amp;L'!N12+'Add-On 1'!N12+'Add-On 2'!N12+'Add-On 3'!N12+'Add-On 4'!N12+'Add-On 5'!N12+'Add-On 6'!N12+'Add-On 7'!N12+'Add-On 8'!N12+'Add-On 9'!N12+'Add-On 10'!N12</f>
        <v/>
      </c>
      <c r="O12" s="156">
        <f>'Platform P&amp;L'!O12+'Add-On 1'!O12+'Add-On 2'!O12+'Add-On 3'!O12+'Add-On 4'!O12+'Add-On 5'!O12+'Add-On 6'!O12+'Add-On 7'!O12+'Add-On 8'!O12+'Add-On 9'!O12+'Add-On 10'!O12</f>
        <v/>
      </c>
      <c r="P12" s="156">
        <f>'Platform P&amp;L'!P12+'Add-On 1'!P12+'Add-On 2'!P12+'Add-On 3'!P12+'Add-On 4'!P12+'Add-On 5'!P12+'Add-On 6'!P12+'Add-On 7'!P12+'Add-On 8'!P12+'Add-On 9'!P12+'Add-On 10'!P12</f>
        <v/>
      </c>
      <c r="Q12" s="156">
        <f>'Platform P&amp;L'!Q12+'Add-On 1'!Q12+'Add-On 2'!Q12+'Add-On 3'!Q12+'Add-On 4'!Q12+'Add-On 5'!Q12+'Add-On 6'!Q12+'Add-On 7'!Q12+'Add-On 8'!Q12+'Add-On 9'!Q12+'Add-On 10'!Q12</f>
        <v/>
      </c>
      <c r="R12" s="156">
        <f>'Platform P&amp;L'!R12+'Add-On 1'!R12+'Add-On 2'!R12+'Add-On 3'!R12+'Add-On 4'!R12+'Add-On 5'!R12+'Add-On 6'!R12+'Add-On 7'!R12+'Add-On 8'!R12+'Add-On 9'!R12+'Add-On 10'!R12</f>
        <v/>
      </c>
      <c r="S12" s="156">
        <f>'Platform P&amp;L'!S12+'Add-On 1'!S12+'Add-On 2'!S12+'Add-On 3'!S12+'Add-On 4'!S12+'Add-On 5'!S12+'Add-On 6'!S12+'Add-On 7'!S12+'Add-On 8'!S12+'Add-On 9'!S12+'Add-On 10'!S12</f>
        <v/>
      </c>
      <c r="T12" s="156">
        <f>'Platform P&amp;L'!T12+'Add-On 1'!T12+'Add-On 2'!T12+'Add-On 3'!T12+'Add-On 4'!T12+'Add-On 5'!T12+'Add-On 6'!T12+'Add-On 7'!T12+'Add-On 8'!T12+'Add-On 9'!T12+'Add-On 10'!T12</f>
        <v/>
      </c>
      <c r="U12" s="156">
        <f>'Platform P&amp;L'!U12+'Add-On 1'!U12+'Add-On 2'!U12+'Add-On 3'!U12+'Add-On 4'!U12+'Add-On 5'!U12+'Add-On 6'!U12+'Add-On 7'!U12+'Add-On 8'!U12+'Add-On 9'!U12+'Add-On 10'!U12</f>
        <v/>
      </c>
      <c r="V12" s="156">
        <f>'Platform P&amp;L'!V12+'Add-On 1'!V12+'Add-On 2'!V12+'Add-On 3'!V12+'Add-On 4'!V12+'Add-On 5'!V12+'Add-On 6'!V12+'Add-On 7'!V12+'Add-On 8'!V12+'Add-On 9'!V12+'Add-On 10'!V12</f>
        <v/>
      </c>
      <c r="W12" s="156">
        <f>'Platform P&amp;L'!W12+'Add-On 1'!W12+'Add-On 2'!W12+'Add-On 3'!W12+'Add-On 4'!W12+'Add-On 5'!W12+'Add-On 6'!W12+'Add-On 7'!W12+'Add-On 8'!W12+'Add-On 9'!W12+'Add-On 10'!W12</f>
        <v/>
      </c>
      <c r="X12" s="156">
        <f>'Platform P&amp;L'!X12+'Add-On 1'!X12+'Add-On 2'!X12+'Add-On 3'!X12+'Add-On 4'!X12+'Add-On 5'!X12+'Add-On 6'!X12+'Add-On 7'!X12+'Add-On 8'!X12+'Add-On 9'!X12+'Add-On 10'!X12</f>
        <v/>
      </c>
      <c r="Y12" s="156">
        <f>'Platform P&amp;L'!Y12+'Add-On 1'!Y12+'Add-On 2'!Y12+'Add-On 3'!Y12+'Add-On 4'!Y12+'Add-On 5'!Y12+'Add-On 6'!Y12+'Add-On 7'!Y12+'Add-On 8'!Y12+'Add-On 9'!Y12+'Add-On 10'!Y12</f>
        <v/>
      </c>
      <c r="Z12" s="156">
        <f>'Platform P&amp;L'!Z12+'Add-On 1'!Z12+'Add-On 2'!Z12+'Add-On 3'!Z12+'Add-On 4'!Z12+'Add-On 5'!Z12+'Add-On 6'!Z12+'Add-On 7'!Z12+'Add-On 8'!Z12+'Add-On 9'!Z12+'Add-On 10'!Z12</f>
        <v/>
      </c>
      <c r="AA12" s="156">
        <f>'Platform P&amp;L'!AA12+'Add-On 1'!AA12+'Add-On 2'!AA12+'Add-On 3'!AA12+'Add-On 4'!AA12+'Add-On 5'!AA12+'Add-On 6'!AA12+'Add-On 7'!AA12+'Add-On 8'!AA12+'Add-On 9'!AA12+'Add-On 10'!AA12</f>
        <v/>
      </c>
      <c r="AB12" s="156">
        <f>'Platform P&amp;L'!AB12+'Add-On 1'!AB12+'Add-On 2'!AB12+'Add-On 3'!AB12+'Add-On 4'!AB12+'Add-On 5'!AB12+'Add-On 6'!AB12+'Add-On 7'!AB12+'Add-On 8'!AB12+'Add-On 9'!AB12+'Add-On 10'!AB12</f>
        <v/>
      </c>
      <c r="AC12" s="156">
        <f>'Platform P&amp;L'!AC12+'Add-On 1'!AC12+'Add-On 2'!AC12+'Add-On 3'!AC12+'Add-On 4'!AC12+'Add-On 5'!AC12+'Add-On 6'!AC12+'Add-On 7'!AC12+'Add-On 8'!AC12+'Add-On 9'!AC12+'Add-On 10'!AC12</f>
        <v/>
      </c>
      <c r="AD12" s="156">
        <f>'Platform P&amp;L'!AD12+'Add-On 1'!AD12+'Add-On 2'!AD12+'Add-On 3'!AD12+'Add-On 4'!AD12+'Add-On 5'!AD12+'Add-On 6'!AD12+'Add-On 7'!AD12+'Add-On 8'!AD12+'Add-On 9'!AD12+'Add-On 10'!AD12</f>
        <v/>
      </c>
      <c r="AE12" s="156">
        <f>'Platform P&amp;L'!AE12+'Add-On 1'!AE12+'Add-On 2'!AE12+'Add-On 3'!AE12+'Add-On 4'!AE12+'Add-On 5'!AE12+'Add-On 6'!AE12+'Add-On 7'!AE12+'Add-On 8'!AE12+'Add-On 9'!AE12+'Add-On 10'!AE12</f>
        <v/>
      </c>
      <c r="AF12" s="156">
        <f>'Platform P&amp;L'!AF12+'Add-On 1'!AF12+'Add-On 2'!AF12+'Add-On 3'!AF12+'Add-On 4'!AF12+'Add-On 5'!AF12+'Add-On 6'!AF12+'Add-On 7'!AF12+'Add-On 8'!AF12+'Add-On 9'!AF12+'Add-On 10'!AF12</f>
        <v/>
      </c>
      <c r="AG12" s="156">
        <f>'Platform P&amp;L'!AG12+'Add-On 1'!AG12+'Add-On 2'!AG12+'Add-On 3'!AG12+'Add-On 4'!AG12+'Add-On 5'!AG12+'Add-On 6'!AG12+'Add-On 7'!AG12+'Add-On 8'!AG12+'Add-On 9'!AG12+'Add-On 10'!AG12</f>
        <v/>
      </c>
      <c r="AH12" s="156">
        <f>'Platform P&amp;L'!AH12+'Add-On 1'!AH12+'Add-On 2'!AH12+'Add-On 3'!AH12+'Add-On 4'!AH12+'Add-On 5'!AH12+'Add-On 6'!AH12+'Add-On 7'!AH12+'Add-On 8'!AH12+'Add-On 9'!AH12+'Add-On 10'!AH12</f>
        <v/>
      </c>
      <c r="AI12" s="156">
        <f>'Platform P&amp;L'!AI12+'Add-On 1'!AI12+'Add-On 2'!AI12+'Add-On 3'!AI12+'Add-On 4'!AI12+'Add-On 5'!AI12+'Add-On 6'!AI12+'Add-On 7'!AI12+'Add-On 8'!AI12+'Add-On 9'!AI12+'Add-On 10'!AI12</f>
        <v/>
      </c>
      <c r="AJ12" s="156">
        <f>'Platform P&amp;L'!AJ12+'Add-On 1'!AJ12+'Add-On 2'!AJ12+'Add-On 3'!AJ12+'Add-On 4'!AJ12+'Add-On 5'!AJ12+'Add-On 6'!AJ12+'Add-On 7'!AJ12+'Add-On 8'!AJ12+'Add-On 9'!AJ12+'Add-On 10'!AJ12</f>
        <v/>
      </c>
      <c r="AK12" s="156">
        <f>'Platform P&amp;L'!AK12+'Add-On 1'!AK12+'Add-On 2'!AK12+'Add-On 3'!AK12+'Add-On 4'!AK12+'Add-On 5'!AK12+'Add-On 6'!AK12+'Add-On 7'!AK12+'Add-On 8'!AK12+'Add-On 9'!AK12+'Add-On 10'!AK12</f>
        <v/>
      </c>
      <c r="AL12" s="156">
        <f>'Platform P&amp;L'!AL12+'Add-On 1'!AL12+'Add-On 2'!AL12+'Add-On 3'!AL12+'Add-On 4'!AL12+'Add-On 5'!AL12+'Add-On 6'!AL12+'Add-On 7'!AL12+'Add-On 8'!AL12+'Add-On 9'!AL12+'Add-On 10'!AL12</f>
        <v/>
      </c>
      <c r="AM12" s="156">
        <f>'Platform P&amp;L'!AM12+'Add-On 1'!AM12+'Add-On 2'!AM12+'Add-On 3'!AM12+'Add-On 4'!AM12+'Add-On 5'!AM12+'Add-On 6'!AM12+'Add-On 7'!AM12+'Add-On 8'!AM12+'Add-On 9'!AM12+'Add-On 10'!AM12</f>
        <v/>
      </c>
      <c r="AN12" s="156">
        <f>'Platform P&amp;L'!AN12+'Add-On 1'!AN12+'Add-On 2'!AN12+'Add-On 3'!AN12+'Add-On 4'!AN12+'Add-On 5'!AN12+'Add-On 6'!AN12+'Add-On 7'!AN12+'Add-On 8'!AN12+'Add-On 9'!AN12+'Add-On 10'!AN12</f>
        <v/>
      </c>
      <c r="AO12" s="156">
        <f>'Platform P&amp;L'!AO12+'Add-On 1'!AO12+'Add-On 2'!AO12+'Add-On 3'!AO12+'Add-On 4'!AO12+'Add-On 5'!AO12+'Add-On 6'!AO12+'Add-On 7'!AO12+'Add-On 8'!AO12+'Add-On 9'!AO12+'Add-On 10'!AO12</f>
        <v/>
      </c>
      <c r="AP12" s="156">
        <f>'Platform P&amp;L'!AP12+'Add-On 1'!AP12+'Add-On 2'!AP12+'Add-On 3'!AP12+'Add-On 4'!AP12+'Add-On 5'!AP12+'Add-On 6'!AP12+'Add-On 7'!AP12+'Add-On 8'!AP12+'Add-On 9'!AP12+'Add-On 10'!AP12</f>
        <v/>
      </c>
      <c r="AQ12" s="156">
        <f>'Platform P&amp;L'!AQ12+'Add-On 1'!AQ12+'Add-On 2'!AQ12+'Add-On 3'!AQ12+'Add-On 4'!AQ12+'Add-On 5'!AQ12+'Add-On 6'!AQ12+'Add-On 7'!AQ12+'Add-On 8'!AQ12+'Add-On 9'!AQ12+'Add-On 10'!AQ12</f>
        <v/>
      </c>
      <c r="AR12" s="156">
        <f>'Platform P&amp;L'!AR12+'Add-On 1'!AR12+'Add-On 2'!AR12+'Add-On 3'!AR12+'Add-On 4'!AR12+'Add-On 5'!AR12+'Add-On 6'!AR12+'Add-On 7'!AR12+'Add-On 8'!AR12+'Add-On 9'!AR12+'Add-On 10'!AR12</f>
        <v/>
      </c>
      <c r="AS12" s="156">
        <f>'Platform P&amp;L'!AS12+'Add-On 1'!AS12+'Add-On 2'!AS12+'Add-On 3'!AS12+'Add-On 4'!AS12+'Add-On 5'!AS12+'Add-On 6'!AS12+'Add-On 7'!AS12+'Add-On 8'!AS12+'Add-On 9'!AS12+'Add-On 10'!AS12</f>
        <v/>
      </c>
      <c r="AT12" s="156">
        <f>'Platform P&amp;L'!AT12+'Add-On 1'!AT12+'Add-On 2'!AT12+'Add-On 3'!AT12+'Add-On 4'!AT12+'Add-On 5'!AT12+'Add-On 6'!AT12+'Add-On 7'!AT12+'Add-On 8'!AT12+'Add-On 9'!AT12+'Add-On 10'!AT12</f>
        <v/>
      </c>
      <c r="AU12" s="156">
        <f>'Platform P&amp;L'!AU12+'Add-On 1'!AU12+'Add-On 2'!AU12+'Add-On 3'!AU12+'Add-On 4'!AU12+'Add-On 5'!AU12+'Add-On 6'!AU12+'Add-On 7'!AU12+'Add-On 8'!AU12+'Add-On 9'!AU12+'Add-On 10'!AU12</f>
        <v/>
      </c>
      <c r="AV12" s="156">
        <f>'Platform P&amp;L'!AV12+'Add-On 1'!AV12+'Add-On 2'!AV12+'Add-On 3'!AV12+'Add-On 4'!AV12+'Add-On 5'!AV12+'Add-On 6'!AV12+'Add-On 7'!AV12+'Add-On 8'!AV12+'Add-On 9'!AV12+'Add-On 10'!AV12</f>
        <v/>
      </c>
      <c r="AW12" s="156">
        <f>'Platform P&amp;L'!AW12+'Add-On 1'!AW12+'Add-On 2'!AW12+'Add-On 3'!AW12+'Add-On 4'!AW12+'Add-On 5'!AW12+'Add-On 6'!AW12+'Add-On 7'!AW12+'Add-On 8'!AW12+'Add-On 9'!AW12+'Add-On 10'!AW12</f>
        <v/>
      </c>
      <c r="AX12" s="156">
        <f>'Platform P&amp;L'!AX12+'Add-On 1'!AX12+'Add-On 2'!AX12+'Add-On 3'!AX12+'Add-On 4'!AX12+'Add-On 5'!AX12+'Add-On 6'!AX12+'Add-On 7'!AX12+'Add-On 8'!AX12+'Add-On 9'!AX12+'Add-On 10'!AX12</f>
        <v/>
      </c>
      <c r="AY12" s="156">
        <f>'Platform P&amp;L'!AY12+'Add-On 1'!AY12+'Add-On 2'!AY12+'Add-On 3'!AY12+'Add-On 4'!AY12+'Add-On 5'!AY12+'Add-On 6'!AY12+'Add-On 7'!AY12+'Add-On 8'!AY12+'Add-On 9'!AY12+'Add-On 10'!AY12</f>
        <v/>
      </c>
      <c r="AZ12" s="156">
        <f>'Platform P&amp;L'!AZ12+'Add-On 1'!AZ12+'Add-On 2'!AZ12+'Add-On 3'!AZ12+'Add-On 4'!AZ12+'Add-On 5'!AZ12+'Add-On 6'!AZ12+'Add-On 7'!AZ12+'Add-On 8'!AZ12+'Add-On 9'!AZ12+'Add-On 10'!AZ12</f>
        <v/>
      </c>
      <c r="BA12" s="156">
        <f>'Platform P&amp;L'!BA12+'Add-On 1'!BA12+'Add-On 2'!BA12+'Add-On 3'!BA12+'Add-On 4'!BA12+'Add-On 5'!BA12+'Add-On 6'!BA12+'Add-On 7'!BA12+'Add-On 8'!BA12+'Add-On 9'!BA12+'Add-On 10'!BA12</f>
        <v/>
      </c>
      <c r="BB12" s="156">
        <f>'Platform P&amp;L'!BB12+'Add-On 1'!BB12+'Add-On 2'!BB12+'Add-On 3'!BB12+'Add-On 4'!BB12+'Add-On 5'!BB12+'Add-On 6'!BB12+'Add-On 7'!BB12+'Add-On 8'!BB12+'Add-On 9'!BB12+'Add-On 10'!BB12</f>
        <v/>
      </c>
      <c r="BC12" s="156">
        <f>'Platform P&amp;L'!BC12+'Add-On 1'!BC12+'Add-On 2'!BC12+'Add-On 3'!BC12+'Add-On 4'!BC12+'Add-On 5'!BC12+'Add-On 6'!BC12+'Add-On 7'!BC12+'Add-On 8'!BC12+'Add-On 9'!BC12+'Add-On 10'!BC12</f>
        <v/>
      </c>
      <c r="BD12" s="156">
        <f>'Platform P&amp;L'!BD12+'Add-On 1'!BD12+'Add-On 2'!BD12+'Add-On 3'!BD12+'Add-On 4'!BD12+'Add-On 5'!BD12+'Add-On 6'!BD12+'Add-On 7'!BD12+'Add-On 8'!BD12+'Add-On 9'!BD12+'Add-On 10'!BD12</f>
        <v/>
      </c>
      <c r="BE12" s="156">
        <f>'Platform P&amp;L'!BE12+'Add-On 1'!BE12+'Add-On 2'!BE12+'Add-On 3'!BE12+'Add-On 4'!BE12+'Add-On 5'!BE12+'Add-On 6'!BE12+'Add-On 7'!BE12+'Add-On 8'!BE12+'Add-On 9'!BE12+'Add-On 10'!BE12</f>
        <v/>
      </c>
      <c r="BF12" s="156">
        <f>'Platform P&amp;L'!BF12+'Add-On 1'!BF12+'Add-On 2'!BF12+'Add-On 3'!BF12+'Add-On 4'!BF12+'Add-On 5'!BF12+'Add-On 6'!BF12+'Add-On 7'!BF12+'Add-On 8'!BF12+'Add-On 9'!BF12+'Add-On 10'!BF12</f>
        <v/>
      </c>
      <c r="BG12" s="156">
        <f>'Platform P&amp;L'!BG12+'Add-On 1'!BG12+'Add-On 2'!BG12+'Add-On 3'!BG12+'Add-On 4'!BG12+'Add-On 5'!BG12+'Add-On 6'!BG12+'Add-On 7'!BG12+'Add-On 8'!BG12+'Add-On 9'!BG12+'Add-On 10'!BG12</f>
        <v/>
      </c>
      <c r="BH12" s="156">
        <f>'Platform P&amp;L'!BH12+'Add-On 1'!BH12+'Add-On 2'!BH12+'Add-On 3'!BH12+'Add-On 4'!BH12+'Add-On 5'!BH12+'Add-On 6'!BH12+'Add-On 7'!BH12+'Add-On 8'!BH12+'Add-On 9'!BH12+'Add-On 10'!BH12</f>
        <v/>
      </c>
      <c r="BI12" s="156">
        <f>'Platform P&amp;L'!BI12+'Add-On 1'!BI12+'Add-On 2'!BI12+'Add-On 3'!BI12+'Add-On 4'!BI12+'Add-On 5'!BI12+'Add-On 6'!BI12+'Add-On 7'!BI12+'Add-On 8'!BI12+'Add-On 9'!BI12+'Add-On 10'!BI12</f>
        <v/>
      </c>
      <c r="BJ12" s="156">
        <f>'Platform P&amp;L'!BJ12+'Add-On 1'!BJ12+'Add-On 2'!BJ12+'Add-On 3'!BJ12+'Add-On 4'!BJ12+'Add-On 5'!BJ12+'Add-On 6'!BJ12+'Add-On 7'!BJ12+'Add-On 8'!BJ12+'Add-On 9'!BJ12+'Add-On 10'!BJ12</f>
        <v/>
      </c>
      <c r="BK12" s="155" t="n"/>
      <c r="BL12" s="157">
        <f>C12+D12+E12+F12+G12+H12+I12+J12+K12+L12+M12+N12</f>
        <v/>
      </c>
      <c r="BM12" s="157">
        <f>O12+P12+Q12+R12+S12+T12+U12+V12+W12+X12+Y12+Z12</f>
        <v/>
      </c>
      <c r="BN12" s="157">
        <f>AA12+AB12+AC12+AD12+AE12+AF12+AG12+AH12+AI12+AJ12+AK12+AL12</f>
        <v/>
      </c>
      <c r="BO12" s="157">
        <f>AM12+AN12+AO12+AP12+AQ12+AR12+AS12+AT12+AU12+AV12+AW12+AX12</f>
        <v/>
      </c>
      <c r="BP12" s="157">
        <f>AY12+AZ12+BA12+BB12+BC12+BD12+BE12+BF12+BG12+BH12+BI12+BJ12</f>
        <v/>
      </c>
      <c r="BQ12" s="155" t="n"/>
    </row>
    <row r="13" ht="15" customHeight="1" s="104">
      <c r="A13" s="158" t="inlineStr">
        <is>
          <t xml:space="preserve">        % of Revenue</t>
        </is>
      </c>
      <c r="B13" s="155" t="n"/>
      <c r="C13" s="159">
        <f>IF(C6=0,0,C12/C6)</f>
        <v/>
      </c>
      <c r="D13" s="159">
        <f>IF(D6=0,0,D12/D6)</f>
        <v/>
      </c>
      <c r="E13" s="159">
        <f>IF(E6=0,0,E12/E6)</f>
        <v/>
      </c>
      <c r="F13" s="159">
        <f>IF(F6=0,0,F12/F6)</f>
        <v/>
      </c>
      <c r="G13" s="159">
        <f>IF(G6=0,0,G12/G6)</f>
        <v/>
      </c>
      <c r="H13" s="159">
        <f>IF(H6=0,0,H12/H6)</f>
        <v/>
      </c>
      <c r="I13" s="159">
        <f>IF(I6=0,0,I12/I6)</f>
        <v/>
      </c>
      <c r="J13" s="159">
        <f>IF(J6=0,0,J12/J6)</f>
        <v/>
      </c>
      <c r="K13" s="159">
        <f>IF(K6=0,0,K12/K6)</f>
        <v/>
      </c>
      <c r="L13" s="159">
        <f>IF(L6=0,0,L12/L6)</f>
        <v/>
      </c>
      <c r="M13" s="159">
        <f>IF(M6=0,0,M12/M6)</f>
        <v/>
      </c>
      <c r="N13" s="159">
        <f>IF(N6=0,0,N12/N6)</f>
        <v/>
      </c>
      <c r="O13" s="159">
        <f>IF(O6=0,0,O12/O6)</f>
        <v/>
      </c>
      <c r="P13" s="159">
        <f>IF(P6=0,0,P12/P6)</f>
        <v/>
      </c>
      <c r="Q13" s="159">
        <f>IF(Q6=0,0,Q12/Q6)</f>
        <v/>
      </c>
      <c r="R13" s="159">
        <f>IF(R6=0,0,R12/R6)</f>
        <v/>
      </c>
      <c r="S13" s="159">
        <f>IF(S6=0,0,S12/S6)</f>
        <v/>
      </c>
      <c r="T13" s="159">
        <f>IF(T6=0,0,T12/T6)</f>
        <v/>
      </c>
      <c r="U13" s="159">
        <f>IF(U6=0,0,U12/U6)</f>
        <v/>
      </c>
      <c r="V13" s="159">
        <f>IF(V6=0,0,V12/V6)</f>
        <v/>
      </c>
      <c r="W13" s="159">
        <f>IF(W6=0,0,W12/W6)</f>
        <v/>
      </c>
      <c r="X13" s="159">
        <f>IF(X6=0,0,X12/X6)</f>
        <v/>
      </c>
      <c r="Y13" s="159">
        <f>IF(Y6=0,0,Y12/Y6)</f>
        <v/>
      </c>
      <c r="Z13" s="159">
        <f>IF(Z6=0,0,Z12/Z6)</f>
        <v/>
      </c>
      <c r="AA13" s="159">
        <f>IF(AA6=0,0,AA12/AA6)</f>
        <v/>
      </c>
      <c r="AB13" s="159">
        <f>IF(AB6=0,0,AB12/AB6)</f>
        <v/>
      </c>
      <c r="AC13" s="159">
        <f>IF(AC6=0,0,AC12/AC6)</f>
        <v/>
      </c>
      <c r="AD13" s="159">
        <f>IF(AD6=0,0,AD12/AD6)</f>
        <v/>
      </c>
      <c r="AE13" s="159">
        <f>IF(AE6=0,0,AE12/AE6)</f>
        <v/>
      </c>
      <c r="AF13" s="159">
        <f>IF(AF6=0,0,AF12/AF6)</f>
        <v/>
      </c>
      <c r="AG13" s="159">
        <f>IF(AG6=0,0,AG12/AG6)</f>
        <v/>
      </c>
      <c r="AH13" s="159">
        <f>IF(AH6=0,0,AH12/AH6)</f>
        <v/>
      </c>
      <c r="AI13" s="159">
        <f>IF(AI6=0,0,AI12/AI6)</f>
        <v/>
      </c>
      <c r="AJ13" s="159">
        <f>IF(AJ6=0,0,AJ12/AJ6)</f>
        <v/>
      </c>
      <c r="AK13" s="159">
        <f>IF(AK6=0,0,AK12/AK6)</f>
        <v/>
      </c>
      <c r="AL13" s="159">
        <f>IF(AL6=0,0,AL12/AL6)</f>
        <v/>
      </c>
      <c r="AM13" s="159">
        <f>IF(AM6=0,0,AM12/AM6)</f>
        <v/>
      </c>
      <c r="AN13" s="159">
        <f>IF(AN6=0,0,AN12/AN6)</f>
        <v/>
      </c>
      <c r="AO13" s="159">
        <f>IF(AO6=0,0,AO12/AO6)</f>
        <v/>
      </c>
      <c r="AP13" s="159">
        <f>IF(AP6=0,0,AP12/AP6)</f>
        <v/>
      </c>
      <c r="AQ13" s="159">
        <f>IF(AQ6=0,0,AQ12/AQ6)</f>
        <v/>
      </c>
      <c r="AR13" s="159">
        <f>IF(AR6=0,0,AR12/AR6)</f>
        <v/>
      </c>
      <c r="AS13" s="159">
        <f>IF(AS6=0,0,AS12/AS6)</f>
        <v/>
      </c>
      <c r="AT13" s="159">
        <f>IF(AT6=0,0,AT12/AT6)</f>
        <v/>
      </c>
      <c r="AU13" s="159">
        <f>IF(AU6=0,0,AU12/AU6)</f>
        <v/>
      </c>
      <c r="AV13" s="159">
        <f>IF(AV6=0,0,AV12/AV6)</f>
        <v/>
      </c>
      <c r="AW13" s="159">
        <f>IF(AW6=0,0,AW12/AW6)</f>
        <v/>
      </c>
      <c r="AX13" s="159">
        <f>IF(AX6=0,0,AX12/AX6)</f>
        <v/>
      </c>
      <c r="AY13" s="159">
        <f>IF(AY6=0,0,AY12/AY6)</f>
        <v/>
      </c>
      <c r="AZ13" s="159">
        <f>IF(AZ6=0,0,AZ12/AZ6)</f>
        <v/>
      </c>
      <c r="BA13" s="159">
        <f>IF(BA6=0,0,BA12/BA6)</f>
        <v/>
      </c>
      <c r="BB13" s="159">
        <f>IF(BB6=0,0,BB12/BB6)</f>
        <v/>
      </c>
      <c r="BC13" s="159">
        <f>IF(BC6=0,0,BC12/BC6)</f>
        <v/>
      </c>
      <c r="BD13" s="159">
        <f>IF(BD6=0,0,BD12/BD6)</f>
        <v/>
      </c>
      <c r="BE13" s="159">
        <f>IF(BE6=0,0,BE12/BE6)</f>
        <v/>
      </c>
      <c r="BF13" s="159">
        <f>IF(BF6=0,0,BF12/BF6)</f>
        <v/>
      </c>
      <c r="BG13" s="159">
        <f>IF(BG6=0,0,BG12/BG6)</f>
        <v/>
      </c>
      <c r="BH13" s="159">
        <f>IF(BH6=0,0,BH12/BH6)</f>
        <v/>
      </c>
      <c r="BI13" s="159">
        <f>IF(BI6=0,0,BI12/BI6)</f>
        <v/>
      </c>
      <c r="BJ13" s="159">
        <f>IF(BJ6=0,0,BJ12/BJ6)</f>
        <v/>
      </c>
      <c r="BK13" s="155" t="n"/>
      <c r="BL13" s="160">
        <f>IF((C6+D6+E6+F6+G6+H6+I6+J6+K6+L6+M6+N6)=0,0,(C12+D12+E12+F12+G12+H12+I12+J12+K12+L12+M12+N12)/(C6+D6+E6+F6+G6+H6+I6+J6+K6+L6+M6+N6))</f>
        <v/>
      </c>
      <c r="BM13" s="160">
        <f>IF((O6+P6+Q6+R6+S6+T6+U6+V6+W6+X6+Y6+Z6)=0,0,(O12+P12+Q12+R12+S12+T12+U12+V12+W12+X12+Y12+Z12)/(O6+P6+Q6+R6+S6+T6+U6+V6+W6+X6+Y6+Z6))</f>
        <v/>
      </c>
      <c r="BN13" s="160">
        <f>IF((AA6+AB6+AC6+AD6+AE6+AF6+AG6+AH6+AI6+AJ6+AK6+AL6)=0,0,(AA12+AB12+AC12+AD12+AE12+AF12+AG12+AH12+AI12+AJ12+AK12+AL12)/(AA6+AB6+AC6+AD6+AE6+AF6+AG6+AH6+AI6+AJ6+AK6+AL6))</f>
        <v/>
      </c>
      <c r="BO13" s="160">
        <f>IF((AM6+AN6+AO6+AP6+AQ6+AR6+AS6+AT6+AU6+AV6+AW6+AX6)=0,0,(AM12+AN12+AO12+AP12+AQ12+AR12+AS12+AT12+AU12+AV12+AW12+AX12)/(AM6+AN6+AO6+AP6+AQ6+AR6+AS6+AT6+AU6+AV6+AW6+AX6))</f>
        <v/>
      </c>
      <c r="BP13" s="160">
        <f>IF((AY6+AZ6+BA6+BB6+BC6+BD6+BE6+BF6+BG6+BH6+BI6+BJ6)=0,0,(AY12+AZ12+BA12+BB12+BC12+BD12+BE12+BF12+BG12+BH12+BI12+BJ12)/(AY6+AZ6+BA6+BB6+BC6+BD6+BE6+BF6+BG6+BH6+BI6+BJ6))</f>
        <v/>
      </c>
      <c r="BQ13" s="155" t="n"/>
    </row>
    <row r="14" ht="15" customHeight="1" s="104">
      <c r="A14" s="107" t="inlineStr">
        <is>
          <t xml:space="preserve">    Technology &amp; Software</t>
        </is>
      </c>
      <c r="B14" s="155" t="n"/>
      <c r="C14" s="156">
        <f>'Platform P&amp;L'!C14+'Add-On 1'!C14+'Add-On 2'!C14+'Add-On 3'!C14+'Add-On 4'!C14+'Add-On 5'!C14+'Add-On 6'!C14+'Add-On 7'!C14+'Add-On 8'!C14+'Add-On 9'!C14+'Add-On 10'!C14</f>
        <v/>
      </c>
      <c r="D14" s="156">
        <f>'Platform P&amp;L'!D14+'Add-On 1'!D14+'Add-On 2'!D14+'Add-On 3'!D14+'Add-On 4'!D14+'Add-On 5'!D14+'Add-On 6'!D14+'Add-On 7'!D14+'Add-On 8'!D14+'Add-On 9'!D14+'Add-On 10'!D14</f>
        <v/>
      </c>
      <c r="E14" s="156">
        <f>'Platform P&amp;L'!E14+'Add-On 1'!E14+'Add-On 2'!E14+'Add-On 3'!E14+'Add-On 4'!E14+'Add-On 5'!E14+'Add-On 6'!E14+'Add-On 7'!E14+'Add-On 8'!E14+'Add-On 9'!E14+'Add-On 10'!E14</f>
        <v/>
      </c>
      <c r="F14" s="156">
        <f>'Platform P&amp;L'!F14+'Add-On 1'!F14+'Add-On 2'!F14+'Add-On 3'!F14+'Add-On 4'!F14+'Add-On 5'!F14+'Add-On 6'!F14+'Add-On 7'!F14+'Add-On 8'!F14+'Add-On 9'!F14+'Add-On 10'!F14</f>
        <v/>
      </c>
      <c r="G14" s="156">
        <f>'Platform P&amp;L'!G14+'Add-On 1'!G14+'Add-On 2'!G14+'Add-On 3'!G14+'Add-On 4'!G14+'Add-On 5'!G14+'Add-On 6'!G14+'Add-On 7'!G14+'Add-On 8'!G14+'Add-On 9'!G14+'Add-On 10'!G14</f>
        <v/>
      </c>
      <c r="H14" s="156">
        <f>'Platform P&amp;L'!H14+'Add-On 1'!H14+'Add-On 2'!H14+'Add-On 3'!H14+'Add-On 4'!H14+'Add-On 5'!H14+'Add-On 6'!H14+'Add-On 7'!H14+'Add-On 8'!H14+'Add-On 9'!H14+'Add-On 10'!H14</f>
        <v/>
      </c>
      <c r="I14" s="156">
        <f>'Platform P&amp;L'!I14+'Add-On 1'!I14+'Add-On 2'!I14+'Add-On 3'!I14+'Add-On 4'!I14+'Add-On 5'!I14+'Add-On 6'!I14+'Add-On 7'!I14+'Add-On 8'!I14+'Add-On 9'!I14+'Add-On 10'!I14</f>
        <v/>
      </c>
      <c r="J14" s="156">
        <f>'Platform P&amp;L'!J14+'Add-On 1'!J14+'Add-On 2'!J14+'Add-On 3'!J14+'Add-On 4'!J14+'Add-On 5'!J14+'Add-On 6'!J14+'Add-On 7'!J14+'Add-On 8'!J14+'Add-On 9'!J14+'Add-On 10'!J14</f>
        <v/>
      </c>
      <c r="K14" s="156">
        <f>'Platform P&amp;L'!K14+'Add-On 1'!K14+'Add-On 2'!K14+'Add-On 3'!K14+'Add-On 4'!K14+'Add-On 5'!K14+'Add-On 6'!K14+'Add-On 7'!K14+'Add-On 8'!K14+'Add-On 9'!K14+'Add-On 10'!K14</f>
        <v/>
      </c>
      <c r="L14" s="156">
        <f>'Platform P&amp;L'!L14+'Add-On 1'!L14+'Add-On 2'!L14+'Add-On 3'!L14+'Add-On 4'!L14+'Add-On 5'!L14+'Add-On 6'!L14+'Add-On 7'!L14+'Add-On 8'!L14+'Add-On 9'!L14+'Add-On 10'!L14</f>
        <v/>
      </c>
      <c r="M14" s="156">
        <f>'Platform P&amp;L'!M14+'Add-On 1'!M14+'Add-On 2'!M14+'Add-On 3'!M14+'Add-On 4'!M14+'Add-On 5'!M14+'Add-On 6'!M14+'Add-On 7'!M14+'Add-On 8'!M14+'Add-On 9'!M14+'Add-On 10'!M14</f>
        <v/>
      </c>
      <c r="N14" s="156">
        <f>'Platform P&amp;L'!N14+'Add-On 1'!N14+'Add-On 2'!N14+'Add-On 3'!N14+'Add-On 4'!N14+'Add-On 5'!N14+'Add-On 6'!N14+'Add-On 7'!N14+'Add-On 8'!N14+'Add-On 9'!N14+'Add-On 10'!N14</f>
        <v/>
      </c>
      <c r="O14" s="156">
        <f>'Platform P&amp;L'!O14+'Add-On 1'!O14+'Add-On 2'!O14+'Add-On 3'!O14+'Add-On 4'!O14+'Add-On 5'!O14+'Add-On 6'!O14+'Add-On 7'!O14+'Add-On 8'!O14+'Add-On 9'!O14+'Add-On 10'!O14</f>
        <v/>
      </c>
      <c r="P14" s="156">
        <f>'Platform P&amp;L'!P14+'Add-On 1'!P14+'Add-On 2'!P14+'Add-On 3'!P14+'Add-On 4'!P14+'Add-On 5'!P14+'Add-On 6'!P14+'Add-On 7'!P14+'Add-On 8'!P14+'Add-On 9'!P14+'Add-On 10'!P14</f>
        <v/>
      </c>
      <c r="Q14" s="156">
        <f>'Platform P&amp;L'!Q14+'Add-On 1'!Q14+'Add-On 2'!Q14+'Add-On 3'!Q14+'Add-On 4'!Q14+'Add-On 5'!Q14+'Add-On 6'!Q14+'Add-On 7'!Q14+'Add-On 8'!Q14+'Add-On 9'!Q14+'Add-On 10'!Q14</f>
        <v/>
      </c>
      <c r="R14" s="156">
        <f>'Platform P&amp;L'!R14+'Add-On 1'!R14+'Add-On 2'!R14+'Add-On 3'!R14+'Add-On 4'!R14+'Add-On 5'!R14+'Add-On 6'!R14+'Add-On 7'!R14+'Add-On 8'!R14+'Add-On 9'!R14+'Add-On 10'!R14</f>
        <v/>
      </c>
      <c r="S14" s="156">
        <f>'Platform P&amp;L'!S14+'Add-On 1'!S14+'Add-On 2'!S14+'Add-On 3'!S14+'Add-On 4'!S14+'Add-On 5'!S14+'Add-On 6'!S14+'Add-On 7'!S14+'Add-On 8'!S14+'Add-On 9'!S14+'Add-On 10'!S14</f>
        <v/>
      </c>
      <c r="T14" s="156">
        <f>'Platform P&amp;L'!T14+'Add-On 1'!T14+'Add-On 2'!T14+'Add-On 3'!T14+'Add-On 4'!T14+'Add-On 5'!T14+'Add-On 6'!T14+'Add-On 7'!T14+'Add-On 8'!T14+'Add-On 9'!T14+'Add-On 10'!T14</f>
        <v/>
      </c>
      <c r="U14" s="156">
        <f>'Platform P&amp;L'!U14+'Add-On 1'!U14+'Add-On 2'!U14+'Add-On 3'!U14+'Add-On 4'!U14+'Add-On 5'!U14+'Add-On 6'!U14+'Add-On 7'!U14+'Add-On 8'!U14+'Add-On 9'!U14+'Add-On 10'!U14</f>
        <v/>
      </c>
      <c r="V14" s="156">
        <f>'Platform P&amp;L'!V14+'Add-On 1'!V14+'Add-On 2'!V14+'Add-On 3'!V14+'Add-On 4'!V14+'Add-On 5'!V14+'Add-On 6'!V14+'Add-On 7'!V14+'Add-On 8'!V14+'Add-On 9'!V14+'Add-On 10'!V14</f>
        <v/>
      </c>
      <c r="W14" s="156">
        <f>'Platform P&amp;L'!W14+'Add-On 1'!W14+'Add-On 2'!W14+'Add-On 3'!W14+'Add-On 4'!W14+'Add-On 5'!W14+'Add-On 6'!W14+'Add-On 7'!W14+'Add-On 8'!W14+'Add-On 9'!W14+'Add-On 10'!W14</f>
        <v/>
      </c>
      <c r="X14" s="156">
        <f>'Platform P&amp;L'!X14+'Add-On 1'!X14+'Add-On 2'!X14+'Add-On 3'!X14+'Add-On 4'!X14+'Add-On 5'!X14+'Add-On 6'!X14+'Add-On 7'!X14+'Add-On 8'!X14+'Add-On 9'!X14+'Add-On 10'!X14</f>
        <v/>
      </c>
      <c r="Y14" s="156">
        <f>'Platform P&amp;L'!Y14+'Add-On 1'!Y14+'Add-On 2'!Y14+'Add-On 3'!Y14+'Add-On 4'!Y14+'Add-On 5'!Y14+'Add-On 6'!Y14+'Add-On 7'!Y14+'Add-On 8'!Y14+'Add-On 9'!Y14+'Add-On 10'!Y14</f>
        <v/>
      </c>
      <c r="Z14" s="156">
        <f>'Platform P&amp;L'!Z14+'Add-On 1'!Z14+'Add-On 2'!Z14+'Add-On 3'!Z14+'Add-On 4'!Z14+'Add-On 5'!Z14+'Add-On 6'!Z14+'Add-On 7'!Z14+'Add-On 8'!Z14+'Add-On 9'!Z14+'Add-On 10'!Z14</f>
        <v/>
      </c>
      <c r="AA14" s="156">
        <f>'Platform P&amp;L'!AA14+'Add-On 1'!AA14+'Add-On 2'!AA14+'Add-On 3'!AA14+'Add-On 4'!AA14+'Add-On 5'!AA14+'Add-On 6'!AA14+'Add-On 7'!AA14+'Add-On 8'!AA14+'Add-On 9'!AA14+'Add-On 10'!AA14</f>
        <v/>
      </c>
      <c r="AB14" s="156">
        <f>'Platform P&amp;L'!AB14+'Add-On 1'!AB14+'Add-On 2'!AB14+'Add-On 3'!AB14+'Add-On 4'!AB14+'Add-On 5'!AB14+'Add-On 6'!AB14+'Add-On 7'!AB14+'Add-On 8'!AB14+'Add-On 9'!AB14+'Add-On 10'!AB14</f>
        <v/>
      </c>
      <c r="AC14" s="156">
        <f>'Platform P&amp;L'!AC14+'Add-On 1'!AC14+'Add-On 2'!AC14+'Add-On 3'!AC14+'Add-On 4'!AC14+'Add-On 5'!AC14+'Add-On 6'!AC14+'Add-On 7'!AC14+'Add-On 8'!AC14+'Add-On 9'!AC14+'Add-On 10'!AC14</f>
        <v/>
      </c>
      <c r="AD14" s="156">
        <f>'Platform P&amp;L'!AD14+'Add-On 1'!AD14+'Add-On 2'!AD14+'Add-On 3'!AD14+'Add-On 4'!AD14+'Add-On 5'!AD14+'Add-On 6'!AD14+'Add-On 7'!AD14+'Add-On 8'!AD14+'Add-On 9'!AD14+'Add-On 10'!AD14</f>
        <v/>
      </c>
      <c r="AE14" s="156">
        <f>'Platform P&amp;L'!AE14+'Add-On 1'!AE14+'Add-On 2'!AE14+'Add-On 3'!AE14+'Add-On 4'!AE14+'Add-On 5'!AE14+'Add-On 6'!AE14+'Add-On 7'!AE14+'Add-On 8'!AE14+'Add-On 9'!AE14+'Add-On 10'!AE14</f>
        <v/>
      </c>
      <c r="AF14" s="156">
        <f>'Platform P&amp;L'!AF14+'Add-On 1'!AF14+'Add-On 2'!AF14+'Add-On 3'!AF14+'Add-On 4'!AF14+'Add-On 5'!AF14+'Add-On 6'!AF14+'Add-On 7'!AF14+'Add-On 8'!AF14+'Add-On 9'!AF14+'Add-On 10'!AF14</f>
        <v/>
      </c>
      <c r="AG14" s="156">
        <f>'Platform P&amp;L'!AG14+'Add-On 1'!AG14+'Add-On 2'!AG14+'Add-On 3'!AG14+'Add-On 4'!AG14+'Add-On 5'!AG14+'Add-On 6'!AG14+'Add-On 7'!AG14+'Add-On 8'!AG14+'Add-On 9'!AG14+'Add-On 10'!AG14</f>
        <v/>
      </c>
      <c r="AH14" s="156">
        <f>'Platform P&amp;L'!AH14+'Add-On 1'!AH14+'Add-On 2'!AH14+'Add-On 3'!AH14+'Add-On 4'!AH14+'Add-On 5'!AH14+'Add-On 6'!AH14+'Add-On 7'!AH14+'Add-On 8'!AH14+'Add-On 9'!AH14+'Add-On 10'!AH14</f>
        <v/>
      </c>
      <c r="AI14" s="156">
        <f>'Platform P&amp;L'!AI14+'Add-On 1'!AI14+'Add-On 2'!AI14+'Add-On 3'!AI14+'Add-On 4'!AI14+'Add-On 5'!AI14+'Add-On 6'!AI14+'Add-On 7'!AI14+'Add-On 8'!AI14+'Add-On 9'!AI14+'Add-On 10'!AI14</f>
        <v/>
      </c>
      <c r="AJ14" s="156">
        <f>'Platform P&amp;L'!AJ14+'Add-On 1'!AJ14+'Add-On 2'!AJ14+'Add-On 3'!AJ14+'Add-On 4'!AJ14+'Add-On 5'!AJ14+'Add-On 6'!AJ14+'Add-On 7'!AJ14+'Add-On 8'!AJ14+'Add-On 9'!AJ14+'Add-On 10'!AJ14</f>
        <v/>
      </c>
      <c r="AK14" s="156">
        <f>'Platform P&amp;L'!AK14+'Add-On 1'!AK14+'Add-On 2'!AK14+'Add-On 3'!AK14+'Add-On 4'!AK14+'Add-On 5'!AK14+'Add-On 6'!AK14+'Add-On 7'!AK14+'Add-On 8'!AK14+'Add-On 9'!AK14+'Add-On 10'!AK14</f>
        <v/>
      </c>
      <c r="AL14" s="156">
        <f>'Platform P&amp;L'!AL14+'Add-On 1'!AL14+'Add-On 2'!AL14+'Add-On 3'!AL14+'Add-On 4'!AL14+'Add-On 5'!AL14+'Add-On 6'!AL14+'Add-On 7'!AL14+'Add-On 8'!AL14+'Add-On 9'!AL14+'Add-On 10'!AL14</f>
        <v/>
      </c>
      <c r="AM14" s="156">
        <f>'Platform P&amp;L'!AM14+'Add-On 1'!AM14+'Add-On 2'!AM14+'Add-On 3'!AM14+'Add-On 4'!AM14+'Add-On 5'!AM14+'Add-On 6'!AM14+'Add-On 7'!AM14+'Add-On 8'!AM14+'Add-On 9'!AM14+'Add-On 10'!AM14</f>
        <v/>
      </c>
      <c r="AN14" s="156">
        <f>'Platform P&amp;L'!AN14+'Add-On 1'!AN14+'Add-On 2'!AN14+'Add-On 3'!AN14+'Add-On 4'!AN14+'Add-On 5'!AN14+'Add-On 6'!AN14+'Add-On 7'!AN14+'Add-On 8'!AN14+'Add-On 9'!AN14+'Add-On 10'!AN14</f>
        <v/>
      </c>
      <c r="AO14" s="156">
        <f>'Platform P&amp;L'!AO14+'Add-On 1'!AO14+'Add-On 2'!AO14+'Add-On 3'!AO14+'Add-On 4'!AO14+'Add-On 5'!AO14+'Add-On 6'!AO14+'Add-On 7'!AO14+'Add-On 8'!AO14+'Add-On 9'!AO14+'Add-On 10'!AO14</f>
        <v/>
      </c>
      <c r="AP14" s="156">
        <f>'Platform P&amp;L'!AP14+'Add-On 1'!AP14+'Add-On 2'!AP14+'Add-On 3'!AP14+'Add-On 4'!AP14+'Add-On 5'!AP14+'Add-On 6'!AP14+'Add-On 7'!AP14+'Add-On 8'!AP14+'Add-On 9'!AP14+'Add-On 10'!AP14</f>
        <v/>
      </c>
      <c r="AQ14" s="156">
        <f>'Platform P&amp;L'!AQ14+'Add-On 1'!AQ14+'Add-On 2'!AQ14+'Add-On 3'!AQ14+'Add-On 4'!AQ14+'Add-On 5'!AQ14+'Add-On 6'!AQ14+'Add-On 7'!AQ14+'Add-On 8'!AQ14+'Add-On 9'!AQ14+'Add-On 10'!AQ14</f>
        <v/>
      </c>
      <c r="AR14" s="156">
        <f>'Platform P&amp;L'!AR14+'Add-On 1'!AR14+'Add-On 2'!AR14+'Add-On 3'!AR14+'Add-On 4'!AR14+'Add-On 5'!AR14+'Add-On 6'!AR14+'Add-On 7'!AR14+'Add-On 8'!AR14+'Add-On 9'!AR14+'Add-On 10'!AR14</f>
        <v/>
      </c>
      <c r="AS14" s="156">
        <f>'Platform P&amp;L'!AS14+'Add-On 1'!AS14+'Add-On 2'!AS14+'Add-On 3'!AS14+'Add-On 4'!AS14+'Add-On 5'!AS14+'Add-On 6'!AS14+'Add-On 7'!AS14+'Add-On 8'!AS14+'Add-On 9'!AS14+'Add-On 10'!AS14</f>
        <v/>
      </c>
      <c r="AT14" s="156">
        <f>'Platform P&amp;L'!AT14+'Add-On 1'!AT14+'Add-On 2'!AT14+'Add-On 3'!AT14+'Add-On 4'!AT14+'Add-On 5'!AT14+'Add-On 6'!AT14+'Add-On 7'!AT14+'Add-On 8'!AT14+'Add-On 9'!AT14+'Add-On 10'!AT14</f>
        <v/>
      </c>
      <c r="AU14" s="156">
        <f>'Platform P&amp;L'!AU14+'Add-On 1'!AU14+'Add-On 2'!AU14+'Add-On 3'!AU14+'Add-On 4'!AU14+'Add-On 5'!AU14+'Add-On 6'!AU14+'Add-On 7'!AU14+'Add-On 8'!AU14+'Add-On 9'!AU14+'Add-On 10'!AU14</f>
        <v/>
      </c>
      <c r="AV14" s="156">
        <f>'Platform P&amp;L'!AV14+'Add-On 1'!AV14+'Add-On 2'!AV14+'Add-On 3'!AV14+'Add-On 4'!AV14+'Add-On 5'!AV14+'Add-On 6'!AV14+'Add-On 7'!AV14+'Add-On 8'!AV14+'Add-On 9'!AV14+'Add-On 10'!AV14</f>
        <v/>
      </c>
      <c r="AW14" s="156">
        <f>'Platform P&amp;L'!AW14+'Add-On 1'!AW14+'Add-On 2'!AW14+'Add-On 3'!AW14+'Add-On 4'!AW14+'Add-On 5'!AW14+'Add-On 6'!AW14+'Add-On 7'!AW14+'Add-On 8'!AW14+'Add-On 9'!AW14+'Add-On 10'!AW14</f>
        <v/>
      </c>
      <c r="AX14" s="156">
        <f>'Platform P&amp;L'!AX14+'Add-On 1'!AX14+'Add-On 2'!AX14+'Add-On 3'!AX14+'Add-On 4'!AX14+'Add-On 5'!AX14+'Add-On 6'!AX14+'Add-On 7'!AX14+'Add-On 8'!AX14+'Add-On 9'!AX14+'Add-On 10'!AX14</f>
        <v/>
      </c>
      <c r="AY14" s="156">
        <f>'Platform P&amp;L'!AY14+'Add-On 1'!AY14+'Add-On 2'!AY14+'Add-On 3'!AY14+'Add-On 4'!AY14+'Add-On 5'!AY14+'Add-On 6'!AY14+'Add-On 7'!AY14+'Add-On 8'!AY14+'Add-On 9'!AY14+'Add-On 10'!AY14</f>
        <v/>
      </c>
      <c r="AZ14" s="156">
        <f>'Platform P&amp;L'!AZ14+'Add-On 1'!AZ14+'Add-On 2'!AZ14+'Add-On 3'!AZ14+'Add-On 4'!AZ14+'Add-On 5'!AZ14+'Add-On 6'!AZ14+'Add-On 7'!AZ14+'Add-On 8'!AZ14+'Add-On 9'!AZ14+'Add-On 10'!AZ14</f>
        <v/>
      </c>
      <c r="BA14" s="156">
        <f>'Platform P&amp;L'!BA14+'Add-On 1'!BA14+'Add-On 2'!BA14+'Add-On 3'!BA14+'Add-On 4'!BA14+'Add-On 5'!BA14+'Add-On 6'!BA14+'Add-On 7'!BA14+'Add-On 8'!BA14+'Add-On 9'!BA14+'Add-On 10'!BA14</f>
        <v/>
      </c>
      <c r="BB14" s="156">
        <f>'Platform P&amp;L'!BB14+'Add-On 1'!BB14+'Add-On 2'!BB14+'Add-On 3'!BB14+'Add-On 4'!BB14+'Add-On 5'!BB14+'Add-On 6'!BB14+'Add-On 7'!BB14+'Add-On 8'!BB14+'Add-On 9'!BB14+'Add-On 10'!BB14</f>
        <v/>
      </c>
      <c r="BC14" s="156">
        <f>'Platform P&amp;L'!BC14+'Add-On 1'!BC14+'Add-On 2'!BC14+'Add-On 3'!BC14+'Add-On 4'!BC14+'Add-On 5'!BC14+'Add-On 6'!BC14+'Add-On 7'!BC14+'Add-On 8'!BC14+'Add-On 9'!BC14+'Add-On 10'!BC14</f>
        <v/>
      </c>
      <c r="BD14" s="156">
        <f>'Platform P&amp;L'!BD14+'Add-On 1'!BD14+'Add-On 2'!BD14+'Add-On 3'!BD14+'Add-On 4'!BD14+'Add-On 5'!BD14+'Add-On 6'!BD14+'Add-On 7'!BD14+'Add-On 8'!BD14+'Add-On 9'!BD14+'Add-On 10'!BD14</f>
        <v/>
      </c>
      <c r="BE14" s="156">
        <f>'Platform P&amp;L'!BE14+'Add-On 1'!BE14+'Add-On 2'!BE14+'Add-On 3'!BE14+'Add-On 4'!BE14+'Add-On 5'!BE14+'Add-On 6'!BE14+'Add-On 7'!BE14+'Add-On 8'!BE14+'Add-On 9'!BE14+'Add-On 10'!BE14</f>
        <v/>
      </c>
      <c r="BF14" s="156">
        <f>'Platform P&amp;L'!BF14+'Add-On 1'!BF14+'Add-On 2'!BF14+'Add-On 3'!BF14+'Add-On 4'!BF14+'Add-On 5'!BF14+'Add-On 6'!BF14+'Add-On 7'!BF14+'Add-On 8'!BF14+'Add-On 9'!BF14+'Add-On 10'!BF14</f>
        <v/>
      </c>
      <c r="BG14" s="156">
        <f>'Platform P&amp;L'!BG14+'Add-On 1'!BG14+'Add-On 2'!BG14+'Add-On 3'!BG14+'Add-On 4'!BG14+'Add-On 5'!BG14+'Add-On 6'!BG14+'Add-On 7'!BG14+'Add-On 8'!BG14+'Add-On 9'!BG14+'Add-On 10'!BG14</f>
        <v/>
      </c>
      <c r="BH14" s="156">
        <f>'Platform P&amp;L'!BH14+'Add-On 1'!BH14+'Add-On 2'!BH14+'Add-On 3'!BH14+'Add-On 4'!BH14+'Add-On 5'!BH14+'Add-On 6'!BH14+'Add-On 7'!BH14+'Add-On 8'!BH14+'Add-On 9'!BH14+'Add-On 10'!BH14</f>
        <v/>
      </c>
      <c r="BI14" s="156">
        <f>'Platform P&amp;L'!BI14+'Add-On 1'!BI14+'Add-On 2'!BI14+'Add-On 3'!BI14+'Add-On 4'!BI14+'Add-On 5'!BI14+'Add-On 6'!BI14+'Add-On 7'!BI14+'Add-On 8'!BI14+'Add-On 9'!BI14+'Add-On 10'!BI14</f>
        <v/>
      </c>
      <c r="BJ14" s="156">
        <f>'Platform P&amp;L'!BJ14+'Add-On 1'!BJ14+'Add-On 2'!BJ14+'Add-On 3'!BJ14+'Add-On 4'!BJ14+'Add-On 5'!BJ14+'Add-On 6'!BJ14+'Add-On 7'!BJ14+'Add-On 8'!BJ14+'Add-On 9'!BJ14+'Add-On 10'!BJ14</f>
        <v/>
      </c>
      <c r="BK14" s="155" t="n"/>
      <c r="BL14" s="157">
        <f>C14+D14+E14+F14+G14+H14+I14+J14+K14+L14+M14+N14</f>
        <v/>
      </c>
      <c r="BM14" s="157">
        <f>O14+P14+Q14+R14+S14+T14+U14+V14+W14+X14+Y14+Z14</f>
        <v/>
      </c>
      <c r="BN14" s="157">
        <f>AA14+AB14+AC14+AD14+AE14+AF14+AG14+AH14+AI14+AJ14+AK14+AL14</f>
        <v/>
      </c>
      <c r="BO14" s="157">
        <f>AM14+AN14+AO14+AP14+AQ14+AR14+AS14+AT14+AU14+AV14+AW14+AX14</f>
        <v/>
      </c>
      <c r="BP14" s="157">
        <f>AY14+AZ14+BA14+BB14+BC14+BD14+BE14+BF14+BG14+BH14+BI14+BJ14</f>
        <v/>
      </c>
      <c r="BQ14" s="155" t="n"/>
    </row>
    <row r="15" ht="15" customHeight="1" s="104">
      <c r="A15" s="158" t="inlineStr">
        <is>
          <t xml:space="preserve">        % of Revenue</t>
        </is>
      </c>
      <c r="B15" s="155" t="n"/>
      <c r="C15" s="159">
        <f>IF(C6=0,0,C14/C6)</f>
        <v/>
      </c>
      <c r="D15" s="159">
        <f>IF(D6=0,0,D14/D6)</f>
        <v/>
      </c>
      <c r="E15" s="159">
        <f>IF(E6=0,0,E14/E6)</f>
        <v/>
      </c>
      <c r="F15" s="159">
        <f>IF(F6=0,0,F14/F6)</f>
        <v/>
      </c>
      <c r="G15" s="159">
        <f>IF(G6=0,0,G14/G6)</f>
        <v/>
      </c>
      <c r="H15" s="159">
        <f>IF(H6=0,0,H14/H6)</f>
        <v/>
      </c>
      <c r="I15" s="159">
        <f>IF(I6=0,0,I14/I6)</f>
        <v/>
      </c>
      <c r="J15" s="159">
        <f>IF(J6=0,0,J14/J6)</f>
        <v/>
      </c>
      <c r="K15" s="159">
        <f>IF(K6=0,0,K14/K6)</f>
        <v/>
      </c>
      <c r="L15" s="159">
        <f>IF(L6=0,0,L14/L6)</f>
        <v/>
      </c>
      <c r="M15" s="159">
        <f>IF(M6=0,0,M14/M6)</f>
        <v/>
      </c>
      <c r="N15" s="159">
        <f>IF(N6=0,0,N14/N6)</f>
        <v/>
      </c>
      <c r="O15" s="159">
        <f>IF(O6=0,0,O14/O6)</f>
        <v/>
      </c>
      <c r="P15" s="159">
        <f>IF(P6=0,0,P14/P6)</f>
        <v/>
      </c>
      <c r="Q15" s="159">
        <f>IF(Q6=0,0,Q14/Q6)</f>
        <v/>
      </c>
      <c r="R15" s="159">
        <f>IF(R6=0,0,R14/R6)</f>
        <v/>
      </c>
      <c r="S15" s="159">
        <f>IF(S6=0,0,S14/S6)</f>
        <v/>
      </c>
      <c r="T15" s="159">
        <f>IF(T6=0,0,T14/T6)</f>
        <v/>
      </c>
      <c r="U15" s="159">
        <f>IF(U6=0,0,U14/U6)</f>
        <v/>
      </c>
      <c r="V15" s="159">
        <f>IF(V6=0,0,V14/V6)</f>
        <v/>
      </c>
      <c r="W15" s="159">
        <f>IF(W6=0,0,W14/W6)</f>
        <v/>
      </c>
      <c r="X15" s="159">
        <f>IF(X6=0,0,X14/X6)</f>
        <v/>
      </c>
      <c r="Y15" s="159">
        <f>IF(Y6=0,0,Y14/Y6)</f>
        <v/>
      </c>
      <c r="Z15" s="159">
        <f>IF(Z6=0,0,Z14/Z6)</f>
        <v/>
      </c>
      <c r="AA15" s="159">
        <f>IF(AA6=0,0,AA14/AA6)</f>
        <v/>
      </c>
      <c r="AB15" s="159">
        <f>IF(AB6=0,0,AB14/AB6)</f>
        <v/>
      </c>
      <c r="AC15" s="159">
        <f>IF(AC6=0,0,AC14/AC6)</f>
        <v/>
      </c>
      <c r="AD15" s="159">
        <f>IF(AD6=0,0,AD14/AD6)</f>
        <v/>
      </c>
      <c r="AE15" s="159">
        <f>IF(AE6=0,0,AE14/AE6)</f>
        <v/>
      </c>
      <c r="AF15" s="159">
        <f>IF(AF6=0,0,AF14/AF6)</f>
        <v/>
      </c>
      <c r="AG15" s="159">
        <f>IF(AG6=0,0,AG14/AG6)</f>
        <v/>
      </c>
      <c r="AH15" s="159">
        <f>IF(AH6=0,0,AH14/AH6)</f>
        <v/>
      </c>
      <c r="AI15" s="159">
        <f>IF(AI6=0,0,AI14/AI6)</f>
        <v/>
      </c>
      <c r="AJ15" s="159">
        <f>IF(AJ6=0,0,AJ14/AJ6)</f>
        <v/>
      </c>
      <c r="AK15" s="159">
        <f>IF(AK6=0,0,AK14/AK6)</f>
        <v/>
      </c>
      <c r="AL15" s="159">
        <f>IF(AL6=0,0,AL14/AL6)</f>
        <v/>
      </c>
      <c r="AM15" s="159">
        <f>IF(AM6=0,0,AM14/AM6)</f>
        <v/>
      </c>
      <c r="AN15" s="159">
        <f>IF(AN6=0,0,AN14/AN6)</f>
        <v/>
      </c>
      <c r="AO15" s="159">
        <f>IF(AO6=0,0,AO14/AO6)</f>
        <v/>
      </c>
      <c r="AP15" s="159">
        <f>IF(AP6=0,0,AP14/AP6)</f>
        <v/>
      </c>
      <c r="AQ15" s="159">
        <f>IF(AQ6=0,0,AQ14/AQ6)</f>
        <v/>
      </c>
      <c r="AR15" s="159">
        <f>IF(AR6=0,0,AR14/AR6)</f>
        <v/>
      </c>
      <c r="AS15" s="159">
        <f>IF(AS6=0,0,AS14/AS6)</f>
        <v/>
      </c>
      <c r="AT15" s="159">
        <f>IF(AT6=0,0,AT14/AT6)</f>
        <v/>
      </c>
      <c r="AU15" s="159">
        <f>IF(AU6=0,0,AU14/AU6)</f>
        <v/>
      </c>
      <c r="AV15" s="159">
        <f>IF(AV6=0,0,AV14/AV6)</f>
        <v/>
      </c>
      <c r="AW15" s="159">
        <f>IF(AW6=0,0,AW14/AW6)</f>
        <v/>
      </c>
      <c r="AX15" s="159">
        <f>IF(AX6=0,0,AX14/AX6)</f>
        <v/>
      </c>
      <c r="AY15" s="159">
        <f>IF(AY6=0,0,AY14/AY6)</f>
        <v/>
      </c>
      <c r="AZ15" s="159">
        <f>IF(AZ6=0,0,AZ14/AZ6)</f>
        <v/>
      </c>
      <c r="BA15" s="159">
        <f>IF(BA6=0,0,BA14/BA6)</f>
        <v/>
      </c>
      <c r="BB15" s="159">
        <f>IF(BB6=0,0,BB14/BB6)</f>
        <v/>
      </c>
      <c r="BC15" s="159">
        <f>IF(BC6=0,0,BC14/BC6)</f>
        <v/>
      </c>
      <c r="BD15" s="159">
        <f>IF(BD6=0,0,BD14/BD6)</f>
        <v/>
      </c>
      <c r="BE15" s="159">
        <f>IF(BE6=0,0,BE14/BE6)</f>
        <v/>
      </c>
      <c r="BF15" s="159">
        <f>IF(BF6=0,0,BF14/BF6)</f>
        <v/>
      </c>
      <c r="BG15" s="159">
        <f>IF(BG6=0,0,BG14/BG6)</f>
        <v/>
      </c>
      <c r="BH15" s="159">
        <f>IF(BH6=0,0,BH14/BH6)</f>
        <v/>
      </c>
      <c r="BI15" s="159">
        <f>IF(BI6=0,0,BI14/BI6)</f>
        <v/>
      </c>
      <c r="BJ15" s="159">
        <f>IF(BJ6=0,0,BJ14/BJ6)</f>
        <v/>
      </c>
      <c r="BK15" s="155" t="n"/>
      <c r="BL15" s="160">
        <f>IF((C6+D6+E6+F6+G6+H6+I6+J6+K6+L6+M6+N6)=0,0,(C14+D14+E14+F14+G14+H14+I14+J14+K14+L14+M14+N14)/(C6+D6+E6+F6+G6+H6+I6+J6+K6+L6+M6+N6))</f>
        <v/>
      </c>
      <c r="BM15" s="160">
        <f>IF((O6+P6+Q6+R6+S6+T6+U6+V6+W6+X6+Y6+Z6)=0,0,(O14+P14+Q14+R14+S14+T14+U14+V14+W14+X14+Y14+Z14)/(O6+P6+Q6+R6+S6+T6+U6+V6+W6+X6+Y6+Z6))</f>
        <v/>
      </c>
      <c r="BN15" s="160">
        <f>IF((AA6+AB6+AC6+AD6+AE6+AF6+AG6+AH6+AI6+AJ6+AK6+AL6)=0,0,(AA14+AB14+AC14+AD14+AE14+AF14+AG14+AH14+AI14+AJ14+AK14+AL14)/(AA6+AB6+AC6+AD6+AE6+AF6+AG6+AH6+AI6+AJ6+AK6+AL6))</f>
        <v/>
      </c>
      <c r="BO15" s="160">
        <f>IF((AM6+AN6+AO6+AP6+AQ6+AR6+AS6+AT6+AU6+AV6+AW6+AX6)=0,0,(AM14+AN14+AO14+AP14+AQ14+AR14+AS14+AT14+AU14+AV14+AW14+AX14)/(AM6+AN6+AO6+AP6+AQ6+AR6+AS6+AT6+AU6+AV6+AW6+AX6))</f>
        <v/>
      </c>
      <c r="BP15" s="160">
        <f>IF((AY6+AZ6+BA6+BB6+BC6+BD6+BE6+BF6+BG6+BH6+BI6+BJ6)=0,0,(AY14+AZ14+BA14+BB14+BC14+BD14+BE14+BF14+BG14+BH14+BI14+BJ14)/(AY6+AZ6+BA6+BB6+BC6+BD6+BE6+BF6+BG6+BH6+BI6+BJ6))</f>
        <v/>
      </c>
      <c r="BQ15" s="155" t="n"/>
    </row>
    <row r="16" ht="15" customHeight="1" s="104">
      <c r="A16" s="107" t="inlineStr">
        <is>
          <t xml:space="preserve">    Insurance</t>
        </is>
      </c>
      <c r="B16" s="155" t="n"/>
      <c r="C16" s="156">
        <f>'Platform P&amp;L'!C16+'Add-On 1'!C16+'Add-On 2'!C16+'Add-On 3'!C16+'Add-On 4'!C16+'Add-On 5'!C16+'Add-On 6'!C16+'Add-On 7'!C16+'Add-On 8'!C16+'Add-On 9'!C16+'Add-On 10'!C16</f>
        <v/>
      </c>
      <c r="D16" s="156">
        <f>'Platform P&amp;L'!D16+'Add-On 1'!D16+'Add-On 2'!D16+'Add-On 3'!D16+'Add-On 4'!D16+'Add-On 5'!D16+'Add-On 6'!D16+'Add-On 7'!D16+'Add-On 8'!D16+'Add-On 9'!D16+'Add-On 10'!D16</f>
        <v/>
      </c>
      <c r="E16" s="156">
        <f>'Platform P&amp;L'!E16+'Add-On 1'!E16+'Add-On 2'!E16+'Add-On 3'!E16+'Add-On 4'!E16+'Add-On 5'!E16+'Add-On 6'!E16+'Add-On 7'!E16+'Add-On 8'!E16+'Add-On 9'!E16+'Add-On 10'!E16</f>
        <v/>
      </c>
      <c r="F16" s="156">
        <f>'Platform P&amp;L'!F16+'Add-On 1'!F16+'Add-On 2'!F16+'Add-On 3'!F16+'Add-On 4'!F16+'Add-On 5'!F16+'Add-On 6'!F16+'Add-On 7'!F16+'Add-On 8'!F16+'Add-On 9'!F16+'Add-On 10'!F16</f>
        <v/>
      </c>
      <c r="G16" s="156">
        <f>'Platform P&amp;L'!G16+'Add-On 1'!G16+'Add-On 2'!G16+'Add-On 3'!G16+'Add-On 4'!G16+'Add-On 5'!G16+'Add-On 6'!G16+'Add-On 7'!G16+'Add-On 8'!G16+'Add-On 9'!G16+'Add-On 10'!G16</f>
        <v/>
      </c>
      <c r="H16" s="156">
        <f>'Platform P&amp;L'!H16+'Add-On 1'!H16+'Add-On 2'!H16+'Add-On 3'!H16+'Add-On 4'!H16+'Add-On 5'!H16+'Add-On 6'!H16+'Add-On 7'!H16+'Add-On 8'!H16+'Add-On 9'!H16+'Add-On 10'!H16</f>
        <v/>
      </c>
      <c r="I16" s="156">
        <f>'Platform P&amp;L'!I16+'Add-On 1'!I16+'Add-On 2'!I16+'Add-On 3'!I16+'Add-On 4'!I16+'Add-On 5'!I16+'Add-On 6'!I16+'Add-On 7'!I16+'Add-On 8'!I16+'Add-On 9'!I16+'Add-On 10'!I16</f>
        <v/>
      </c>
      <c r="J16" s="156">
        <f>'Platform P&amp;L'!J16+'Add-On 1'!J16+'Add-On 2'!J16+'Add-On 3'!J16+'Add-On 4'!J16+'Add-On 5'!J16+'Add-On 6'!J16+'Add-On 7'!J16+'Add-On 8'!J16+'Add-On 9'!J16+'Add-On 10'!J16</f>
        <v/>
      </c>
      <c r="K16" s="156">
        <f>'Platform P&amp;L'!K16+'Add-On 1'!K16+'Add-On 2'!K16+'Add-On 3'!K16+'Add-On 4'!K16+'Add-On 5'!K16+'Add-On 6'!K16+'Add-On 7'!K16+'Add-On 8'!K16+'Add-On 9'!K16+'Add-On 10'!K16</f>
        <v/>
      </c>
      <c r="L16" s="156">
        <f>'Platform P&amp;L'!L16+'Add-On 1'!L16+'Add-On 2'!L16+'Add-On 3'!L16+'Add-On 4'!L16+'Add-On 5'!L16+'Add-On 6'!L16+'Add-On 7'!L16+'Add-On 8'!L16+'Add-On 9'!L16+'Add-On 10'!L16</f>
        <v/>
      </c>
      <c r="M16" s="156">
        <f>'Platform P&amp;L'!M16+'Add-On 1'!M16+'Add-On 2'!M16+'Add-On 3'!M16+'Add-On 4'!M16+'Add-On 5'!M16+'Add-On 6'!M16+'Add-On 7'!M16+'Add-On 8'!M16+'Add-On 9'!M16+'Add-On 10'!M16</f>
        <v/>
      </c>
      <c r="N16" s="156">
        <f>'Platform P&amp;L'!N16+'Add-On 1'!N16+'Add-On 2'!N16+'Add-On 3'!N16+'Add-On 4'!N16+'Add-On 5'!N16+'Add-On 6'!N16+'Add-On 7'!N16+'Add-On 8'!N16+'Add-On 9'!N16+'Add-On 10'!N16</f>
        <v/>
      </c>
      <c r="O16" s="156">
        <f>'Platform P&amp;L'!O16+'Add-On 1'!O16+'Add-On 2'!O16+'Add-On 3'!O16+'Add-On 4'!O16+'Add-On 5'!O16+'Add-On 6'!O16+'Add-On 7'!O16+'Add-On 8'!O16+'Add-On 9'!O16+'Add-On 10'!O16</f>
        <v/>
      </c>
      <c r="P16" s="156">
        <f>'Platform P&amp;L'!P16+'Add-On 1'!P16+'Add-On 2'!P16+'Add-On 3'!P16+'Add-On 4'!P16+'Add-On 5'!P16+'Add-On 6'!P16+'Add-On 7'!P16+'Add-On 8'!P16+'Add-On 9'!P16+'Add-On 10'!P16</f>
        <v/>
      </c>
      <c r="Q16" s="156">
        <f>'Platform P&amp;L'!Q16+'Add-On 1'!Q16+'Add-On 2'!Q16+'Add-On 3'!Q16+'Add-On 4'!Q16+'Add-On 5'!Q16+'Add-On 6'!Q16+'Add-On 7'!Q16+'Add-On 8'!Q16+'Add-On 9'!Q16+'Add-On 10'!Q16</f>
        <v/>
      </c>
      <c r="R16" s="156">
        <f>'Platform P&amp;L'!R16+'Add-On 1'!R16+'Add-On 2'!R16+'Add-On 3'!R16+'Add-On 4'!R16+'Add-On 5'!R16+'Add-On 6'!R16+'Add-On 7'!R16+'Add-On 8'!R16+'Add-On 9'!R16+'Add-On 10'!R16</f>
        <v/>
      </c>
      <c r="S16" s="156">
        <f>'Platform P&amp;L'!S16+'Add-On 1'!S16+'Add-On 2'!S16+'Add-On 3'!S16+'Add-On 4'!S16+'Add-On 5'!S16+'Add-On 6'!S16+'Add-On 7'!S16+'Add-On 8'!S16+'Add-On 9'!S16+'Add-On 10'!S16</f>
        <v/>
      </c>
      <c r="T16" s="156">
        <f>'Platform P&amp;L'!T16+'Add-On 1'!T16+'Add-On 2'!T16+'Add-On 3'!T16+'Add-On 4'!T16+'Add-On 5'!T16+'Add-On 6'!T16+'Add-On 7'!T16+'Add-On 8'!T16+'Add-On 9'!T16+'Add-On 10'!T16</f>
        <v/>
      </c>
      <c r="U16" s="156">
        <f>'Platform P&amp;L'!U16+'Add-On 1'!U16+'Add-On 2'!U16+'Add-On 3'!U16+'Add-On 4'!U16+'Add-On 5'!U16+'Add-On 6'!U16+'Add-On 7'!U16+'Add-On 8'!U16+'Add-On 9'!U16+'Add-On 10'!U16</f>
        <v/>
      </c>
      <c r="V16" s="156">
        <f>'Platform P&amp;L'!V16+'Add-On 1'!V16+'Add-On 2'!V16+'Add-On 3'!V16+'Add-On 4'!V16+'Add-On 5'!V16+'Add-On 6'!V16+'Add-On 7'!V16+'Add-On 8'!V16+'Add-On 9'!V16+'Add-On 10'!V16</f>
        <v/>
      </c>
      <c r="W16" s="156">
        <f>'Platform P&amp;L'!W16+'Add-On 1'!W16+'Add-On 2'!W16+'Add-On 3'!W16+'Add-On 4'!W16+'Add-On 5'!W16+'Add-On 6'!W16+'Add-On 7'!W16+'Add-On 8'!W16+'Add-On 9'!W16+'Add-On 10'!W16</f>
        <v/>
      </c>
      <c r="X16" s="156">
        <f>'Platform P&amp;L'!X16+'Add-On 1'!X16+'Add-On 2'!X16+'Add-On 3'!X16+'Add-On 4'!X16+'Add-On 5'!X16+'Add-On 6'!X16+'Add-On 7'!X16+'Add-On 8'!X16+'Add-On 9'!X16+'Add-On 10'!X16</f>
        <v/>
      </c>
      <c r="Y16" s="156">
        <f>'Platform P&amp;L'!Y16+'Add-On 1'!Y16+'Add-On 2'!Y16+'Add-On 3'!Y16+'Add-On 4'!Y16+'Add-On 5'!Y16+'Add-On 6'!Y16+'Add-On 7'!Y16+'Add-On 8'!Y16+'Add-On 9'!Y16+'Add-On 10'!Y16</f>
        <v/>
      </c>
      <c r="Z16" s="156">
        <f>'Platform P&amp;L'!Z16+'Add-On 1'!Z16+'Add-On 2'!Z16+'Add-On 3'!Z16+'Add-On 4'!Z16+'Add-On 5'!Z16+'Add-On 6'!Z16+'Add-On 7'!Z16+'Add-On 8'!Z16+'Add-On 9'!Z16+'Add-On 10'!Z16</f>
        <v/>
      </c>
      <c r="AA16" s="156">
        <f>'Platform P&amp;L'!AA16+'Add-On 1'!AA16+'Add-On 2'!AA16+'Add-On 3'!AA16+'Add-On 4'!AA16+'Add-On 5'!AA16+'Add-On 6'!AA16+'Add-On 7'!AA16+'Add-On 8'!AA16+'Add-On 9'!AA16+'Add-On 10'!AA16</f>
        <v/>
      </c>
      <c r="AB16" s="156">
        <f>'Platform P&amp;L'!AB16+'Add-On 1'!AB16+'Add-On 2'!AB16+'Add-On 3'!AB16+'Add-On 4'!AB16+'Add-On 5'!AB16+'Add-On 6'!AB16+'Add-On 7'!AB16+'Add-On 8'!AB16+'Add-On 9'!AB16+'Add-On 10'!AB16</f>
        <v/>
      </c>
      <c r="AC16" s="156">
        <f>'Platform P&amp;L'!AC16+'Add-On 1'!AC16+'Add-On 2'!AC16+'Add-On 3'!AC16+'Add-On 4'!AC16+'Add-On 5'!AC16+'Add-On 6'!AC16+'Add-On 7'!AC16+'Add-On 8'!AC16+'Add-On 9'!AC16+'Add-On 10'!AC16</f>
        <v/>
      </c>
      <c r="AD16" s="156">
        <f>'Platform P&amp;L'!AD16+'Add-On 1'!AD16+'Add-On 2'!AD16+'Add-On 3'!AD16+'Add-On 4'!AD16+'Add-On 5'!AD16+'Add-On 6'!AD16+'Add-On 7'!AD16+'Add-On 8'!AD16+'Add-On 9'!AD16+'Add-On 10'!AD16</f>
        <v/>
      </c>
      <c r="AE16" s="156">
        <f>'Platform P&amp;L'!AE16+'Add-On 1'!AE16+'Add-On 2'!AE16+'Add-On 3'!AE16+'Add-On 4'!AE16+'Add-On 5'!AE16+'Add-On 6'!AE16+'Add-On 7'!AE16+'Add-On 8'!AE16+'Add-On 9'!AE16+'Add-On 10'!AE16</f>
        <v/>
      </c>
      <c r="AF16" s="156">
        <f>'Platform P&amp;L'!AF16+'Add-On 1'!AF16+'Add-On 2'!AF16+'Add-On 3'!AF16+'Add-On 4'!AF16+'Add-On 5'!AF16+'Add-On 6'!AF16+'Add-On 7'!AF16+'Add-On 8'!AF16+'Add-On 9'!AF16+'Add-On 10'!AF16</f>
        <v/>
      </c>
      <c r="AG16" s="156">
        <f>'Platform P&amp;L'!AG16+'Add-On 1'!AG16+'Add-On 2'!AG16+'Add-On 3'!AG16+'Add-On 4'!AG16+'Add-On 5'!AG16+'Add-On 6'!AG16+'Add-On 7'!AG16+'Add-On 8'!AG16+'Add-On 9'!AG16+'Add-On 10'!AG16</f>
        <v/>
      </c>
      <c r="AH16" s="156">
        <f>'Platform P&amp;L'!AH16+'Add-On 1'!AH16+'Add-On 2'!AH16+'Add-On 3'!AH16+'Add-On 4'!AH16+'Add-On 5'!AH16+'Add-On 6'!AH16+'Add-On 7'!AH16+'Add-On 8'!AH16+'Add-On 9'!AH16+'Add-On 10'!AH16</f>
        <v/>
      </c>
      <c r="AI16" s="156">
        <f>'Platform P&amp;L'!AI16+'Add-On 1'!AI16+'Add-On 2'!AI16+'Add-On 3'!AI16+'Add-On 4'!AI16+'Add-On 5'!AI16+'Add-On 6'!AI16+'Add-On 7'!AI16+'Add-On 8'!AI16+'Add-On 9'!AI16+'Add-On 10'!AI16</f>
        <v/>
      </c>
      <c r="AJ16" s="156">
        <f>'Platform P&amp;L'!AJ16+'Add-On 1'!AJ16+'Add-On 2'!AJ16+'Add-On 3'!AJ16+'Add-On 4'!AJ16+'Add-On 5'!AJ16+'Add-On 6'!AJ16+'Add-On 7'!AJ16+'Add-On 8'!AJ16+'Add-On 9'!AJ16+'Add-On 10'!AJ16</f>
        <v/>
      </c>
      <c r="AK16" s="156">
        <f>'Platform P&amp;L'!AK16+'Add-On 1'!AK16+'Add-On 2'!AK16+'Add-On 3'!AK16+'Add-On 4'!AK16+'Add-On 5'!AK16+'Add-On 6'!AK16+'Add-On 7'!AK16+'Add-On 8'!AK16+'Add-On 9'!AK16+'Add-On 10'!AK16</f>
        <v/>
      </c>
      <c r="AL16" s="156">
        <f>'Platform P&amp;L'!AL16+'Add-On 1'!AL16+'Add-On 2'!AL16+'Add-On 3'!AL16+'Add-On 4'!AL16+'Add-On 5'!AL16+'Add-On 6'!AL16+'Add-On 7'!AL16+'Add-On 8'!AL16+'Add-On 9'!AL16+'Add-On 10'!AL16</f>
        <v/>
      </c>
      <c r="AM16" s="156">
        <f>'Platform P&amp;L'!AM16+'Add-On 1'!AM16+'Add-On 2'!AM16+'Add-On 3'!AM16+'Add-On 4'!AM16+'Add-On 5'!AM16+'Add-On 6'!AM16+'Add-On 7'!AM16+'Add-On 8'!AM16+'Add-On 9'!AM16+'Add-On 10'!AM16</f>
        <v/>
      </c>
      <c r="AN16" s="156">
        <f>'Platform P&amp;L'!AN16+'Add-On 1'!AN16+'Add-On 2'!AN16+'Add-On 3'!AN16+'Add-On 4'!AN16+'Add-On 5'!AN16+'Add-On 6'!AN16+'Add-On 7'!AN16+'Add-On 8'!AN16+'Add-On 9'!AN16+'Add-On 10'!AN16</f>
        <v/>
      </c>
      <c r="AO16" s="156">
        <f>'Platform P&amp;L'!AO16+'Add-On 1'!AO16+'Add-On 2'!AO16+'Add-On 3'!AO16+'Add-On 4'!AO16+'Add-On 5'!AO16+'Add-On 6'!AO16+'Add-On 7'!AO16+'Add-On 8'!AO16+'Add-On 9'!AO16+'Add-On 10'!AO16</f>
        <v/>
      </c>
      <c r="AP16" s="156">
        <f>'Platform P&amp;L'!AP16+'Add-On 1'!AP16+'Add-On 2'!AP16+'Add-On 3'!AP16+'Add-On 4'!AP16+'Add-On 5'!AP16+'Add-On 6'!AP16+'Add-On 7'!AP16+'Add-On 8'!AP16+'Add-On 9'!AP16+'Add-On 10'!AP16</f>
        <v/>
      </c>
      <c r="AQ16" s="156">
        <f>'Platform P&amp;L'!AQ16+'Add-On 1'!AQ16+'Add-On 2'!AQ16+'Add-On 3'!AQ16+'Add-On 4'!AQ16+'Add-On 5'!AQ16+'Add-On 6'!AQ16+'Add-On 7'!AQ16+'Add-On 8'!AQ16+'Add-On 9'!AQ16+'Add-On 10'!AQ16</f>
        <v/>
      </c>
      <c r="AR16" s="156">
        <f>'Platform P&amp;L'!AR16+'Add-On 1'!AR16+'Add-On 2'!AR16+'Add-On 3'!AR16+'Add-On 4'!AR16+'Add-On 5'!AR16+'Add-On 6'!AR16+'Add-On 7'!AR16+'Add-On 8'!AR16+'Add-On 9'!AR16+'Add-On 10'!AR16</f>
        <v/>
      </c>
      <c r="AS16" s="156">
        <f>'Platform P&amp;L'!AS16+'Add-On 1'!AS16+'Add-On 2'!AS16+'Add-On 3'!AS16+'Add-On 4'!AS16+'Add-On 5'!AS16+'Add-On 6'!AS16+'Add-On 7'!AS16+'Add-On 8'!AS16+'Add-On 9'!AS16+'Add-On 10'!AS16</f>
        <v/>
      </c>
      <c r="AT16" s="156">
        <f>'Platform P&amp;L'!AT16+'Add-On 1'!AT16+'Add-On 2'!AT16+'Add-On 3'!AT16+'Add-On 4'!AT16+'Add-On 5'!AT16+'Add-On 6'!AT16+'Add-On 7'!AT16+'Add-On 8'!AT16+'Add-On 9'!AT16+'Add-On 10'!AT16</f>
        <v/>
      </c>
      <c r="AU16" s="156">
        <f>'Platform P&amp;L'!AU16+'Add-On 1'!AU16+'Add-On 2'!AU16+'Add-On 3'!AU16+'Add-On 4'!AU16+'Add-On 5'!AU16+'Add-On 6'!AU16+'Add-On 7'!AU16+'Add-On 8'!AU16+'Add-On 9'!AU16+'Add-On 10'!AU16</f>
        <v/>
      </c>
      <c r="AV16" s="156">
        <f>'Platform P&amp;L'!AV16+'Add-On 1'!AV16+'Add-On 2'!AV16+'Add-On 3'!AV16+'Add-On 4'!AV16+'Add-On 5'!AV16+'Add-On 6'!AV16+'Add-On 7'!AV16+'Add-On 8'!AV16+'Add-On 9'!AV16+'Add-On 10'!AV16</f>
        <v/>
      </c>
      <c r="AW16" s="156">
        <f>'Platform P&amp;L'!AW16+'Add-On 1'!AW16+'Add-On 2'!AW16+'Add-On 3'!AW16+'Add-On 4'!AW16+'Add-On 5'!AW16+'Add-On 6'!AW16+'Add-On 7'!AW16+'Add-On 8'!AW16+'Add-On 9'!AW16+'Add-On 10'!AW16</f>
        <v/>
      </c>
      <c r="AX16" s="156">
        <f>'Platform P&amp;L'!AX16+'Add-On 1'!AX16+'Add-On 2'!AX16+'Add-On 3'!AX16+'Add-On 4'!AX16+'Add-On 5'!AX16+'Add-On 6'!AX16+'Add-On 7'!AX16+'Add-On 8'!AX16+'Add-On 9'!AX16+'Add-On 10'!AX16</f>
        <v/>
      </c>
      <c r="AY16" s="156">
        <f>'Platform P&amp;L'!AY16+'Add-On 1'!AY16+'Add-On 2'!AY16+'Add-On 3'!AY16+'Add-On 4'!AY16+'Add-On 5'!AY16+'Add-On 6'!AY16+'Add-On 7'!AY16+'Add-On 8'!AY16+'Add-On 9'!AY16+'Add-On 10'!AY16</f>
        <v/>
      </c>
      <c r="AZ16" s="156">
        <f>'Platform P&amp;L'!AZ16+'Add-On 1'!AZ16+'Add-On 2'!AZ16+'Add-On 3'!AZ16+'Add-On 4'!AZ16+'Add-On 5'!AZ16+'Add-On 6'!AZ16+'Add-On 7'!AZ16+'Add-On 8'!AZ16+'Add-On 9'!AZ16+'Add-On 10'!AZ16</f>
        <v/>
      </c>
      <c r="BA16" s="156">
        <f>'Platform P&amp;L'!BA16+'Add-On 1'!BA16+'Add-On 2'!BA16+'Add-On 3'!BA16+'Add-On 4'!BA16+'Add-On 5'!BA16+'Add-On 6'!BA16+'Add-On 7'!BA16+'Add-On 8'!BA16+'Add-On 9'!BA16+'Add-On 10'!BA16</f>
        <v/>
      </c>
      <c r="BB16" s="156">
        <f>'Platform P&amp;L'!BB16+'Add-On 1'!BB16+'Add-On 2'!BB16+'Add-On 3'!BB16+'Add-On 4'!BB16+'Add-On 5'!BB16+'Add-On 6'!BB16+'Add-On 7'!BB16+'Add-On 8'!BB16+'Add-On 9'!BB16+'Add-On 10'!BB16</f>
        <v/>
      </c>
      <c r="BC16" s="156">
        <f>'Platform P&amp;L'!BC16+'Add-On 1'!BC16+'Add-On 2'!BC16+'Add-On 3'!BC16+'Add-On 4'!BC16+'Add-On 5'!BC16+'Add-On 6'!BC16+'Add-On 7'!BC16+'Add-On 8'!BC16+'Add-On 9'!BC16+'Add-On 10'!BC16</f>
        <v/>
      </c>
      <c r="BD16" s="156">
        <f>'Platform P&amp;L'!BD16+'Add-On 1'!BD16+'Add-On 2'!BD16+'Add-On 3'!BD16+'Add-On 4'!BD16+'Add-On 5'!BD16+'Add-On 6'!BD16+'Add-On 7'!BD16+'Add-On 8'!BD16+'Add-On 9'!BD16+'Add-On 10'!BD16</f>
        <v/>
      </c>
      <c r="BE16" s="156">
        <f>'Platform P&amp;L'!BE16+'Add-On 1'!BE16+'Add-On 2'!BE16+'Add-On 3'!BE16+'Add-On 4'!BE16+'Add-On 5'!BE16+'Add-On 6'!BE16+'Add-On 7'!BE16+'Add-On 8'!BE16+'Add-On 9'!BE16+'Add-On 10'!BE16</f>
        <v/>
      </c>
      <c r="BF16" s="156">
        <f>'Platform P&amp;L'!BF16+'Add-On 1'!BF16+'Add-On 2'!BF16+'Add-On 3'!BF16+'Add-On 4'!BF16+'Add-On 5'!BF16+'Add-On 6'!BF16+'Add-On 7'!BF16+'Add-On 8'!BF16+'Add-On 9'!BF16+'Add-On 10'!BF16</f>
        <v/>
      </c>
      <c r="BG16" s="156">
        <f>'Platform P&amp;L'!BG16+'Add-On 1'!BG16+'Add-On 2'!BG16+'Add-On 3'!BG16+'Add-On 4'!BG16+'Add-On 5'!BG16+'Add-On 6'!BG16+'Add-On 7'!BG16+'Add-On 8'!BG16+'Add-On 9'!BG16+'Add-On 10'!BG16</f>
        <v/>
      </c>
      <c r="BH16" s="156">
        <f>'Platform P&amp;L'!BH16+'Add-On 1'!BH16+'Add-On 2'!BH16+'Add-On 3'!BH16+'Add-On 4'!BH16+'Add-On 5'!BH16+'Add-On 6'!BH16+'Add-On 7'!BH16+'Add-On 8'!BH16+'Add-On 9'!BH16+'Add-On 10'!BH16</f>
        <v/>
      </c>
      <c r="BI16" s="156">
        <f>'Platform P&amp;L'!BI16+'Add-On 1'!BI16+'Add-On 2'!BI16+'Add-On 3'!BI16+'Add-On 4'!BI16+'Add-On 5'!BI16+'Add-On 6'!BI16+'Add-On 7'!BI16+'Add-On 8'!BI16+'Add-On 9'!BI16+'Add-On 10'!BI16</f>
        <v/>
      </c>
      <c r="BJ16" s="156">
        <f>'Platform P&amp;L'!BJ16+'Add-On 1'!BJ16+'Add-On 2'!BJ16+'Add-On 3'!BJ16+'Add-On 4'!BJ16+'Add-On 5'!BJ16+'Add-On 6'!BJ16+'Add-On 7'!BJ16+'Add-On 8'!BJ16+'Add-On 9'!BJ16+'Add-On 10'!BJ16</f>
        <v/>
      </c>
      <c r="BK16" s="155" t="n"/>
      <c r="BL16" s="157">
        <f>C16+D16+E16+F16+G16+H16+I16+J16+K16+L16+M16+N16</f>
        <v/>
      </c>
      <c r="BM16" s="157">
        <f>O16+P16+Q16+R16+S16+T16+U16+V16+W16+X16+Y16+Z16</f>
        <v/>
      </c>
      <c r="BN16" s="157">
        <f>AA16+AB16+AC16+AD16+AE16+AF16+AG16+AH16+AI16+AJ16+AK16+AL16</f>
        <v/>
      </c>
      <c r="BO16" s="157">
        <f>AM16+AN16+AO16+AP16+AQ16+AR16+AS16+AT16+AU16+AV16+AW16+AX16</f>
        <v/>
      </c>
      <c r="BP16" s="157">
        <f>AY16+AZ16+BA16+BB16+BC16+BD16+BE16+BF16+BG16+BH16+BI16+BJ16</f>
        <v/>
      </c>
      <c r="BQ16" s="155" t="n"/>
    </row>
    <row r="17" ht="15" customHeight="1" s="104">
      <c r="A17" s="158" t="inlineStr">
        <is>
          <t xml:space="preserve">        % of Revenue</t>
        </is>
      </c>
      <c r="B17" s="155" t="n"/>
      <c r="C17" s="159">
        <f>IF(C6=0,0,C16/C6)</f>
        <v/>
      </c>
      <c r="D17" s="159">
        <f>IF(D6=0,0,D16/D6)</f>
        <v/>
      </c>
      <c r="E17" s="159">
        <f>IF(E6=0,0,E16/E6)</f>
        <v/>
      </c>
      <c r="F17" s="159">
        <f>IF(F6=0,0,F16/F6)</f>
        <v/>
      </c>
      <c r="G17" s="159">
        <f>IF(G6=0,0,G16/G6)</f>
        <v/>
      </c>
      <c r="H17" s="159">
        <f>IF(H6=0,0,H16/H6)</f>
        <v/>
      </c>
      <c r="I17" s="159">
        <f>IF(I6=0,0,I16/I6)</f>
        <v/>
      </c>
      <c r="J17" s="159">
        <f>IF(J6=0,0,J16/J6)</f>
        <v/>
      </c>
      <c r="K17" s="159">
        <f>IF(K6=0,0,K16/K6)</f>
        <v/>
      </c>
      <c r="L17" s="159">
        <f>IF(L6=0,0,L16/L6)</f>
        <v/>
      </c>
      <c r="M17" s="159">
        <f>IF(M6=0,0,M16/M6)</f>
        <v/>
      </c>
      <c r="N17" s="159">
        <f>IF(N6=0,0,N16/N6)</f>
        <v/>
      </c>
      <c r="O17" s="159">
        <f>IF(O6=0,0,O16/O6)</f>
        <v/>
      </c>
      <c r="P17" s="159">
        <f>IF(P6=0,0,P16/P6)</f>
        <v/>
      </c>
      <c r="Q17" s="159">
        <f>IF(Q6=0,0,Q16/Q6)</f>
        <v/>
      </c>
      <c r="R17" s="159">
        <f>IF(R6=0,0,R16/R6)</f>
        <v/>
      </c>
      <c r="S17" s="159">
        <f>IF(S6=0,0,S16/S6)</f>
        <v/>
      </c>
      <c r="T17" s="159">
        <f>IF(T6=0,0,T16/T6)</f>
        <v/>
      </c>
      <c r="U17" s="159">
        <f>IF(U6=0,0,U16/U6)</f>
        <v/>
      </c>
      <c r="V17" s="159">
        <f>IF(V6=0,0,V16/V6)</f>
        <v/>
      </c>
      <c r="W17" s="159">
        <f>IF(W6=0,0,W16/W6)</f>
        <v/>
      </c>
      <c r="X17" s="159">
        <f>IF(X6=0,0,X16/X6)</f>
        <v/>
      </c>
      <c r="Y17" s="159">
        <f>IF(Y6=0,0,Y16/Y6)</f>
        <v/>
      </c>
      <c r="Z17" s="159">
        <f>IF(Z6=0,0,Z16/Z6)</f>
        <v/>
      </c>
      <c r="AA17" s="159">
        <f>IF(AA6=0,0,AA16/AA6)</f>
        <v/>
      </c>
      <c r="AB17" s="159">
        <f>IF(AB6=0,0,AB16/AB6)</f>
        <v/>
      </c>
      <c r="AC17" s="159">
        <f>IF(AC6=0,0,AC16/AC6)</f>
        <v/>
      </c>
      <c r="AD17" s="159">
        <f>IF(AD6=0,0,AD16/AD6)</f>
        <v/>
      </c>
      <c r="AE17" s="159">
        <f>IF(AE6=0,0,AE16/AE6)</f>
        <v/>
      </c>
      <c r="AF17" s="159">
        <f>IF(AF6=0,0,AF16/AF6)</f>
        <v/>
      </c>
      <c r="AG17" s="159">
        <f>IF(AG6=0,0,AG16/AG6)</f>
        <v/>
      </c>
      <c r="AH17" s="159">
        <f>IF(AH6=0,0,AH16/AH6)</f>
        <v/>
      </c>
      <c r="AI17" s="159">
        <f>IF(AI6=0,0,AI16/AI6)</f>
        <v/>
      </c>
      <c r="AJ17" s="159">
        <f>IF(AJ6=0,0,AJ16/AJ6)</f>
        <v/>
      </c>
      <c r="AK17" s="159">
        <f>IF(AK6=0,0,AK16/AK6)</f>
        <v/>
      </c>
      <c r="AL17" s="159">
        <f>IF(AL6=0,0,AL16/AL6)</f>
        <v/>
      </c>
      <c r="AM17" s="159">
        <f>IF(AM6=0,0,AM16/AM6)</f>
        <v/>
      </c>
      <c r="AN17" s="159">
        <f>IF(AN6=0,0,AN16/AN6)</f>
        <v/>
      </c>
      <c r="AO17" s="159">
        <f>IF(AO6=0,0,AO16/AO6)</f>
        <v/>
      </c>
      <c r="AP17" s="159">
        <f>IF(AP6=0,0,AP16/AP6)</f>
        <v/>
      </c>
      <c r="AQ17" s="159">
        <f>IF(AQ6=0,0,AQ16/AQ6)</f>
        <v/>
      </c>
      <c r="AR17" s="159">
        <f>IF(AR6=0,0,AR16/AR6)</f>
        <v/>
      </c>
      <c r="AS17" s="159">
        <f>IF(AS6=0,0,AS16/AS6)</f>
        <v/>
      </c>
      <c r="AT17" s="159">
        <f>IF(AT6=0,0,AT16/AT6)</f>
        <v/>
      </c>
      <c r="AU17" s="159">
        <f>IF(AU6=0,0,AU16/AU6)</f>
        <v/>
      </c>
      <c r="AV17" s="159">
        <f>IF(AV6=0,0,AV16/AV6)</f>
        <v/>
      </c>
      <c r="AW17" s="159">
        <f>IF(AW6=0,0,AW16/AW6)</f>
        <v/>
      </c>
      <c r="AX17" s="159">
        <f>IF(AX6=0,0,AX16/AX6)</f>
        <v/>
      </c>
      <c r="AY17" s="159">
        <f>IF(AY6=0,0,AY16/AY6)</f>
        <v/>
      </c>
      <c r="AZ17" s="159">
        <f>IF(AZ6=0,0,AZ16/AZ6)</f>
        <v/>
      </c>
      <c r="BA17" s="159">
        <f>IF(BA6=0,0,BA16/BA6)</f>
        <v/>
      </c>
      <c r="BB17" s="159">
        <f>IF(BB6=0,0,BB16/BB6)</f>
        <v/>
      </c>
      <c r="BC17" s="159">
        <f>IF(BC6=0,0,BC16/BC6)</f>
        <v/>
      </c>
      <c r="BD17" s="159">
        <f>IF(BD6=0,0,BD16/BD6)</f>
        <v/>
      </c>
      <c r="BE17" s="159">
        <f>IF(BE6=0,0,BE16/BE6)</f>
        <v/>
      </c>
      <c r="BF17" s="159">
        <f>IF(BF6=0,0,BF16/BF6)</f>
        <v/>
      </c>
      <c r="BG17" s="159">
        <f>IF(BG6=0,0,BG16/BG6)</f>
        <v/>
      </c>
      <c r="BH17" s="159">
        <f>IF(BH6=0,0,BH16/BH6)</f>
        <v/>
      </c>
      <c r="BI17" s="159">
        <f>IF(BI6=0,0,BI16/BI6)</f>
        <v/>
      </c>
      <c r="BJ17" s="159">
        <f>IF(BJ6=0,0,BJ16/BJ6)</f>
        <v/>
      </c>
      <c r="BK17" s="155" t="n"/>
      <c r="BL17" s="160">
        <f>IF((C6+D6+E6+F6+G6+H6+I6+J6+K6+L6+M6+N6)=0,0,(C16+D16+E16+F16+G16+H16+I16+J16+K16+L16+M16+N16)/(C6+D6+E6+F6+G6+H6+I6+J6+K6+L6+M6+N6))</f>
        <v/>
      </c>
      <c r="BM17" s="160">
        <f>IF((O6+P6+Q6+R6+S6+T6+U6+V6+W6+X6+Y6+Z6)=0,0,(O16+P16+Q16+R16+S16+T16+U16+V16+W16+X16+Y16+Z16)/(O6+P6+Q6+R6+S6+T6+U6+V6+W6+X6+Y6+Z6))</f>
        <v/>
      </c>
      <c r="BN17" s="160">
        <f>IF((AA6+AB6+AC6+AD6+AE6+AF6+AG6+AH6+AI6+AJ6+AK6+AL6)=0,0,(AA16+AB16+AC16+AD16+AE16+AF16+AG16+AH16+AI16+AJ16+AK16+AL16)/(AA6+AB6+AC6+AD6+AE6+AF6+AG6+AH6+AI6+AJ6+AK6+AL6))</f>
        <v/>
      </c>
      <c r="BO17" s="160">
        <f>IF((AM6+AN6+AO6+AP6+AQ6+AR6+AS6+AT6+AU6+AV6+AW6+AX6)=0,0,(AM16+AN16+AO16+AP16+AQ16+AR16+AS16+AT16+AU16+AV16+AW16+AX16)/(AM6+AN6+AO6+AP6+AQ6+AR6+AS6+AT6+AU6+AV6+AW6+AX6))</f>
        <v/>
      </c>
      <c r="BP17" s="160">
        <f>IF((AY6+AZ6+BA6+BB6+BC6+BD6+BE6+BF6+BG6+BH6+BI6+BJ6)=0,0,(AY16+AZ16+BA16+BB16+BC16+BD16+BE16+BF16+BG16+BH16+BI16+BJ16)/(AY6+AZ6+BA6+BB6+BC6+BD6+BE6+BF6+BG6+BH6+BI6+BJ6))</f>
        <v/>
      </c>
      <c r="BQ17" s="155" t="n"/>
    </row>
    <row r="18" ht="15" customHeight="1" s="104">
      <c r="A18" s="107" t="inlineStr">
        <is>
          <t xml:space="preserve">    Other Operating Expenses</t>
        </is>
      </c>
      <c r="B18" s="155" t="n"/>
      <c r="C18" s="156">
        <f>'Platform P&amp;L'!C18+'Add-On 1'!C18+'Add-On 2'!C18+'Add-On 3'!C18+'Add-On 4'!C18+'Add-On 5'!C18+'Add-On 6'!C18+'Add-On 7'!C18+'Add-On 8'!C18+'Add-On 9'!C18+'Add-On 10'!C18</f>
        <v/>
      </c>
      <c r="D18" s="156">
        <f>'Platform P&amp;L'!D18+'Add-On 1'!D18+'Add-On 2'!D18+'Add-On 3'!D18+'Add-On 4'!D18+'Add-On 5'!D18+'Add-On 6'!D18+'Add-On 7'!D18+'Add-On 8'!D18+'Add-On 9'!D18+'Add-On 10'!D18</f>
        <v/>
      </c>
      <c r="E18" s="156">
        <f>'Platform P&amp;L'!E18+'Add-On 1'!E18+'Add-On 2'!E18+'Add-On 3'!E18+'Add-On 4'!E18+'Add-On 5'!E18+'Add-On 6'!E18+'Add-On 7'!E18+'Add-On 8'!E18+'Add-On 9'!E18+'Add-On 10'!E18</f>
        <v/>
      </c>
      <c r="F18" s="156">
        <f>'Platform P&amp;L'!F18+'Add-On 1'!F18+'Add-On 2'!F18+'Add-On 3'!F18+'Add-On 4'!F18+'Add-On 5'!F18+'Add-On 6'!F18+'Add-On 7'!F18+'Add-On 8'!F18+'Add-On 9'!F18+'Add-On 10'!F18</f>
        <v/>
      </c>
      <c r="G18" s="156">
        <f>'Platform P&amp;L'!G18+'Add-On 1'!G18+'Add-On 2'!G18+'Add-On 3'!G18+'Add-On 4'!G18+'Add-On 5'!G18+'Add-On 6'!G18+'Add-On 7'!G18+'Add-On 8'!G18+'Add-On 9'!G18+'Add-On 10'!G18</f>
        <v/>
      </c>
      <c r="H18" s="156">
        <f>'Platform P&amp;L'!H18+'Add-On 1'!H18+'Add-On 2'!H18+'Add-On 3'!H18+'Add-On 4'!H18+'Add-On 5'!H18+'Add-On 6'!H18+'Add-On 7'!H18+'Add-On 8'!H18+'Add-On 9'!H18+'Add-On 10'!H18</f>
        <v/>
      </c>
      <c r="I18" s="156">
        <f>'Platform P&amp;L'!I18+'Add-On 1'!I18+'Add-On 2'!I18+'Add-On 3'!I18+'Add-On 4'!I18+'Add-On 5'!I18+'Add-On 6'!I18+'Add-On 7'!I18+'Add-On 8'!I18+'Add-On 9'!I18+'Add-On 10'!I18</f>
        <v/>
      </c>
      <c r="J18" s="156">
        <f>'Platform P&amp;L'!J18+'Add-On 1'!J18+'Add-On 2'!J18+'Add-On 3'!J18+'Add-On 4'!J18+'Add-On 5'!J18+'Add-On 6'!J18+'Add-On 7'!J18+'Add-On 8'!J18+'Add-On 9'!J18+'Add-On 10'!J18</f>
        <v/>
      </c>
      <c r="K18" s="156">
        <f>'Platform P&amp;L'!K18+'Add-On 1'!K18+'Add-On 2'!K18+'Add-On 3'!K18+'Add-On 4'!K18+'Add-On 5'!K18+'Add-On 6'!K18+'Add-On 7'!K18+'Add-On 8'!K18+'Add-On 9'!K18+'Add-On 10'!K18</f>
        <v/>
      </c>
      <c r="L18" s="156">
        <f>'Platform P&amp;L'!L18+'Add-On 1'!L18+'Add-On 2'!L18+'Add-On 3'!L18+'Add-On 4'!L18+'Add-On 5'!L18+'Add-On 6'!L18+'Add-On 7'!L18+'Add-On 8'!L18+'Add-On 9'!L18+'Add-On 10'!L18</f>
        <v/>
      </c>
      <c r="M18" s="156">
        <f>'Platform P&amp;L'!M18+'Add-On 1'!M18+'Add-On 2'!M18+'Add-On 3'!M18+'Add-On 4'!M18+'Add-On 5'!M18+'Add-On 6'!M18+'Add-On 7'!M18+'Add-On 8'!M18+'Add-On 9'!M18+'Add-On 10'!M18</f>
        <v/>
      </c>
      <c r="N18" s="156">
        <f>'Platform P&amp;L'!N18+'Add-On 1'!N18+'Add-On 2'!N18+'Add-On 3'!N18+'Add-On 4'!N18+'Add-On 5'!N18+'Add-On 6'!N18+'Add-On 7'!N18+'Add-On 8'!N18+'Add-On 9'!N18+'Add-On 10'!N18</f>
        <v/>
      </c>
      <c r="O18" s="156">
        <f>'Platform P&amp;L'!O18+'Add-On 1'!O18+'Add-On 2'!O18+'Add-On 3'!O18+'Add-On 4'!O18+'Add-On 5'!O18+'Add-On 6'!O18+'Add-On 7'!O18+'Add-On 8'!O18+'Add-On 9'!O18+'Add-On 10'!O18</f>
        <v/>
      </c>
      <c r="P18" s="156">
        <f>'Platform P&amp;L'!P18+'Add-On 1'!P18+'Add-On 2'!P18+'Add-On 3'!P18+'Add-On 4'!P18+'Add-On 5'!P18+'Add-On 6'!P18+'Add-On 7'!P18+'Add-On 8'!P18+'Add-On 9'!P18+'Add-On 10'!P18</f>
        <v/>
      </c>
      <c r="Q18" s="156">
        <f>'Platform P&amp;L'!Q18+'Add-On 1'!Q18+'Add-On 2'!Q18+'Add-On 3'!Q18+'Add-On 4'!Q18+'Add-On 5'!Q18+'Add-On 6'!Q18+'Add-On 7'!Q18+'Add-On 8'!Q18+'Add-On 9'!Q18+'Add-On 10'!Q18</f>
        <v/>
      </c>
      <c r="R18" s="156">
        <f>'Platform P&amp;L'!R18+'Add-On 1'!R18+'Add-On 2'!R18+'Add-On 3'!R18+'Add-On 4'!R18+'Add-On 5'!R18+'Add-On 6'!R18+'Add-On 7'!R18+'Add-On 8'!R18+'Add-On 9'!R18+'Add-On 10'!R18</f>
        <v/>
      </c>
      <c r="S18" s="156">
        <f>'Platform P&amp;L'!S18+'Add-On 1'!S18+'Add-On 2'!S18+'Add-On 3'!S18+'Add-On 4'!S18+'Add-On 5'!S18+'Add-On 6'!S18+'Add-On 7'!S18+'Add-On 8'!S18+'Add-On 9'!S18+'Add-On 10'!S18</f>
        <v/>
      </c>
      <c r="T18" s="156">
        <f>'Platform P&amp;L'!T18+'Add-On 1'!T18+'Add-On 2'!T18+'Add-On 3'!T18+'Add-On 4'!T18+'Add-On 5'!T18+'Add-On 6'!T18+'Add-On 7'!T18+'Add-On 8'!T18+'Add-On 9'!T18+'Add-On 10'!T18</f>
        <v/>
      </c>
      <c r="U18" s="156">
        <f>'Platform P&amp;L'!U18+'Add-On 1'!U18+'Add-On 2'!U18+'Add-On 3'!U18+'Add-On 4'!U18+'Add-On 5'!U18+'Add-On 6'!U18+'Add-On 7'!U18+'Add-On 8'!U18+'Add-On 9'!U18+'Add-On 10'!U18</f>
        <v/>
      </c>
      <c r="V18" s="156">
        <f>'Platform P&amp;L'!V18+'Add-On 1'!V18+'Add-On 2'!V18+'Add-On 3'!V18+'Add-On 4'!V18+'Add-On 5'!V18+'Add-On 6'!V18+'Add-On 7'!V18+'Add-On 8'!V18+'Add-On 9'!V18+'Add-On 10'!V18</f>
        <v/>
      </c>
      <c r="W18" s="156">
        <f>'Platform P&amp;L'!W18+'Add-On 1'!W18+'Add-On 2'!W18+'Add-On 3'!W18+'Add-On 4'!W18+'Add-On 5'!W18+'Add-On 6'!W18+'Add-On 7'!W18+'Add-On 8'!W18+'Add-On 9'!W18+'Add-On 10'!W18</f>
        <v/>
      </c>
      <c r="X18" s="156">
        <f>'Platform P&amp;L'!X18+'Add-On 1'!X18+'Add-On 2'!X18+'Add-On 3'!X18+'Add-On 4'!X18+'Add-On 5'!X18+'Add-On 6'!X18+'Add-On 7'!X18+'Add-On 8'!X18+'Add-On 9'!X18+'Add-On 10'!X18</f>
        <v/>
      </c>
      <c r="Y18" s="156">
        <f>'Platform P&amp;L'!Y18+'Add-On 1'!Y18+'Add-On 2'!Y18+'Add-On 3'!Y18+'Add-On 4'!Y18+'Add-On 5'!Y18+'Add-On 6'!Y18+'Add-On 7'!Y18+'Add-On 8'!Y18+'Add-On 9'!Y18+'Add-On 10'!Y18</f>
        <v/>
      </c>
      <c r="Z18" s="156">
        <f>'Platform P&amp;L'!Z18+'Add-On 1'!Z18+'Add-On 2'!Z18+'Add-On 3'!Z18+'Add-On 4'!Z18+'Add-On 5'!Z18+'Add-On 6'!Z18+'Add-On 7'!Z18+'Add-On 8'!Z18+'Add-On 9'!Z18+'Add-On 10'!Z18</f>
        <v/>
      </c>
      <c r="AA18" s="156">
        <f>'Platform P&amp;L'!AA18+'Add-On 1'!AA18+'Add-On 2'!AA18+'Add-On 3'!AA18+'Add-On 4'!AA18+'Add-On 5'!AA18+'Add-On 6'!AA18+'Add-On 7'!AA18+'Add-On 8'!AA18+'Add-On 9'!AA18+'Add-On 10'!AA18</f>
        <v/>
      </c>
      <c r="AB18" s="156">
        <f>'Platform P&amp;L'!AB18+'Add-On 1'!AB18+'Add-On 2'!AB18+'Add-On 3'!AB18+'Add-On 4'!AB18+'Add-On 5'!AB18+'Add-On 6'!AB18+'Add-On 7'!AB18+'Add-On 8'!AB18+'Add-On 9'!AB18+'Add-On 10'!AB18</f>
        <v/>
      </c>
      <c r="AC18" s="156">
        <f>'Platform P&amp;L'!AC18+'Add-On 1'!AC18+'Add-On 2'!AC18+'Add-On 3'!AC18+'Add-On 4'!AC18+'Add-On 5'!AC18+'Add-On 6'!AC18+'Add-On 7'!AC18+'Add-On 8'!AC18+'Add-On 9'!AC18+'Add-On 10'!AC18</f>
        <v/>
      </c>
      <c r="AD18" s="156">
        <f>'Platform P&amp;L'!AD18+'Add-On 1'!AD18+'Add-On 2'!AD18+'Add-On 3'!AD18+'Add-On 4'!AD18+'Add-On 5'!AD18+'Add-On 6'!AD18+'Add-On 7'!AD18+'Add-On 8'!AD18+'Add-On 9'!AD18+'Add-On 10'!AD18</f>
        <v/>
      </c>
      <c r="AE18" s="156">
        <f>'Platform P&amp;L'!AE18+'Add-On 1'!AE18+'Add-On 2'!AE18+'Add-On 3'!AE18+'Add-On 4'!AE18+'Add-On 5'!AE18+'Add-On 6'!AE18+'Add-On 7'!AE18+'Add-On 8'!AE18+'Add-On 9'!AE18+'Add-On 10'!AE18</f>
        <v/>
      </c>
      <c r="AF18" s="156">
        <f>'Platform P&amp;L'!AF18+'Add-On 1'!AF18+'Add-On 2'!AF18+'Add-On 3'!AF18+'Add-On 4'!AF18+'Add-On 5'!AF18+'Add-On 6'!AF18+'Add-On 7'!AF18+'Add-On 8'!AF18+'Add-On 9'!AF18+'Add-On 10'!AF18</f>
        <v/>
      </c>
      <c r="AG18" s="156">
        <f>'Platform P&amp;L'!AG18+'Add-On 1'!AG18+'Add-On 2'!AG18+'Add-On 3'!AG18+'Add-On 4'!AG18+'Add-On 5'!AG18+'Add-On 6'!AG18+'Add-On 7'!AG18+'Add-On 8'!AG18+'Add-On 9'!AG18+'Add-On 10'!AG18</f>
        <v/>
      </c>
      <c r="AH18" s="156">
        <f>'Platform P&amp;L'!AH18+'Add-On 1'!AH18+'Add-On 2'!AH18+'Add-On 3'!AH18+'Add-On 4'!AH18+'Add-On 5'!AH18+'Add-On 6'!AH18+'Add-On 7'!AH18+'Add-On 8'!AH18+'Add-On 9'!AH18+'Add-On 10'!AH18</f>
        <v/>
      </c>
      <c r="AI18" s="156">
        <f>'Platform P&amp;L'!AI18+'Add-On 1'!AI18+'Add-On 2'!AI18+'Add-On 3'!AI18+'Add-On 4'!AI18+'Add-On 5'!AI18+'Add-On 6'!AI18+'Add-On 7'!AI18+'Add-On 8'!AI18+'Add-On 9'!AI18+'Add-On 10'!AI18</f>
        <v/>
      </c>
      <c r="AJ18" s="156">
        <f>'Platform P&amp;L'!AJ18+'Add-On 1'!AJ18+'Add-On 2'!AJ18+'Add-On 3'!AJ18+'Add-On 4'!AJ18+'Add-On 5'!AJ18+'Add-On 6'!AJ18+'Add-On 7'!AJ18+'Add-On 8'!AJ18+'Add-On 9'!AJ18+'Add-On 10'!AJ18</f>
        <v/>
      </c>
      <c r="AK18" s="156">
        <f>'Platform P&amp;L'!AK18+'Add-On 1'!AK18+'Add-On 2'!AK18+'Add-On 3'!AK18+'Add-On 4'!AK18+'Add-On 5'!AK18+'Add-On 6'!AK18+'Add-On 7'!AK18+'Add-On 8'!AK18+'Add-On 9'!AK18+'Add-On 10'!AK18</f>
        <v/>
      </c>
      <c r="AL18" s="156">
        <f>'Platform P&amp;L'!AL18+'Add-On 1'!AL18+'Add-On 2'!AL18+'Add-On 3'!AL18+'Add-On 4'!AL18+'Add-On 5'!AL18+'Add-On 6'!AL18+'Add-On 7'!AL18+'Add-On 8'!AL18+'Add-On 9'!AL18+'Add-On 10'!AL18</f>
        <v/>
      </c>
      <c r="AM18" s="156">
        <f>'Platform P&amp;L'!AM18+'Add-On 1'!AM18+'Add-On 2'!AM18+'Add-On 3'!AM18+'Add-On 4'!AM18+'Add-On 5'!AM18+'Add-On 6'!AM18+'Add-On 7'!AM18+'Add-On 8'!AM18+'Add-On 9'!AM18+'Add-On 10'!AM18</f>
        <v/>
      </c>
      <c r="AN18" s="156">
        <f>'Platform P&amp;L'!AN18+'Add-On 1'!AN18+'Add-On 2'!AN18+'Add-On 3'!AN18+'Add-On 4'!AN18+'Add-On 5'!AN18+'Add-On 6'!AN18+'Add-On 7'!AN18+'Add-On 8'!AN18+'Add-On 9'!AN18+'Add-On 10'!AN18</f>
        <v/>
      </c>
      <c r="AO18" s="156">
        <f>'Platform P&amp;L'!AO18+'Add-On 1'!AO18+'Add-On 2'!AO18+'Add-On 3'!AO18+'Add-On 4'!AO18+'Add-On 5'!AO18+'Add-On 6'!AO18+'Add-On 7'!AO18+'Add-On 8'!AO18+'Add-On 9'!AO18+'Add-On 10'!AO18</f>
        <v/>
      </c>
      <c r="AP18" s="156">
        <f>'Platform P&amp;L'!AP18+'Add-On 1'!AP18+'Add-On 2'!AP18+'Add-On 3'!AP18+'Add-On 4'!AP18+'Add-On 5'!AP18+'Add-On 6'!AP18+'Add-On 7'!AP18+'Add-On 8'!AP18+'Add-On 9'!AP18+'Add-On 10'!AP18</f>
        <v/>
      </c>
      <c r="AQ18" s="156">
        <f>'Platform P&amp;L'!AQ18+'Add-On 1'!AQ18+'Add-On 2'!AQ18+'Add-On 3'!AQ18+'Add-On 4'!AQ18+'Add-On 5'!AQ18+'Add-On 6'!AQ18+'Add-On 7'!AQ18+'Add-On 8'!AQ18+'Add-On 9'!AQ18+'Add-On 10'!AQ18</f>
        <v/>
      </c>
      <c r="AR18" s="156">
        <f>'Platform P&amp;L'!AR18+'Add-On 1'!AR18+'Add-On 2'!AR18+'Add-On 3'!AR18+'Add-On 4'!AR18+'Add-On 5'!AR18+'Add-On 6'!AR18+'Add-On 7'!AR18+'Add-On 8'!AR18+'Add-On 9'!AR18+'Add-On 10'!AR18</f>
        <v/>
      </c>
      <c r="AS18" s="156">
        <f>'Platform P&amp;L'!AS18+'Add-On 1'!AS18+'Add-On 2'!AS18+'Add-On 3'!AS18+'Add-On 4'!AS18+'Add-On 5'!AS18+'Add-On 6'!AS18+'Add-On 7'!AS18+'Add-On 8'!AS18+'Add-On 9'!AS18+'Add-On 10'!AS18</f>
        <v/>
      </c>
      <c r="AT18" s="156">
        <f>'Platform P&amp;L'!AT18+'Add-On 1'!AT18+'Add-On 2'!AT18+'Add-On 3'!AT18+'Add-On 4'!AT18+'Add-On 5'!AT18+'Add-On 6'!AT18+'Add-On 7'!AT18+'Add-On 8'!AT18+'Add-On 9'!AT18+'Add-On 10'!AT18</f>
        <v/>
      </c>
      <c r="AU18" s="156">
        <f>'Platform P&amp;L'!AU18+'Add-On 1'!AU18+'Add-On 2'!AU18+'Add-On 3'!AU18+'Add-On 4'!AU18+'Add-On 5'!AU18+'Add-On 6'!AU18+'Add-On 7'!AU18+'Add-On 8'!AU18+'Add-On 9'!AU18+'Add-On 10'!AU18</f>
        <v/>
      </c>
      <c r="AV18" s="156">
        <f>'Platform P&amp;L'!AV18+'Add-On 1'!AV18+'Add-On 2'!AV18+'Add-On 3'!AV18+'Add-On 4'!AV18+'Add-On 5'!AV18+'Add-On 6'!AV18+'Add-On 7'!AV18+'Add-On 8'!AV18+'Add-On 9'!AV18+'Add-On 10'!AV18</f>
        <v/>
      </c>
      <c r="AW18" s="156">
        <f>'Platform P&amp;L'!AW18+'Add-On 1'!AW18+'Add-On 2'!AW18+'Add-On 3'!AW18+'Add-On 4'!AW18+'Add-On 5'!AW18+'Add-On 6'!AW18+'Add-On 7'!AW18+'Add-On 8'!AW18+'Add-On 9'!AW18+'Add-On 10'!AW18</f>
        <v/>
      </c>
      <c r="AX18" s="156">
        <f>'Platform P&amp;L'!AX18+'Add-On 1'!AX18+'Add-On 2'!AX18+'Add-On 3'!AX18+'Add-On 4'!AX18+'Add-On 5'!AX18+'Add-On 6'!AX18+'Add-On 7'!AX18+'Add-On 8'!AX18+'Add-On 9'!AX18+'Add-On 10'!AX18</f>
        <v/>
      </c>
      <c r="AY18" s="156">
        <f>'Platform P&amp;L'!AY18+'Add-On 1'!AY18+'Add-On 2'!AY18+'Add-On 3'!AY18+'Add-On 4'!AY18+'Add-On 5'!AY18+'Add-On 6'!AY18+'Add-On 7'!AY18+'Add-On 8'!AY18+'Add-On 9'!AY18+'Add-On 10'!AY18</f>
        <v/>
      </c>
      <c r="AZ18" s="156">
        <f>'Platform P&amp;L'!AZ18+'Add-On 1'!AZ18+'Add-On 2'!AZ18+'Add-On 3'!AZ18+'Add-On 4'!AZ18+'Add-On 5'!AZ18+'Add-On 6'!AZ18+'Add-On 7'!AZ18+'Add-On 8'!AZ18+'Add-On 9'!AZ18+'Add-On 10'!AZ18</f>
        <v/>
      </c>
      <c r="BA18" s="156">
        <f>'Platform P&amp;L'!BA18+'Add-On 1'!BA18+'Add-On 2'!BA18+'Add-On 3'!BA18+'Add-On 4'!BA18+'Add-On 5'!BA18+'Add-On 6'!BA18+'Add-On 7'!BA18+'Add-On 8'!BA18+'Add-On 9'!BA18+'Add-On 10'!BA18</f>
        <v/>
      </c>
      <c r="BB18" s="156">
        <f>'Platform P&amp;L'!BB18+'Add-On 1'!BB18+'Add-On 2'!BB18+'Add-On 3'!BB18+'Add-On 4'!BB18+'Add-On 5'!BB18+'Add-On 6'!BB18+'Add-On 7'!BB18+'Add-On 8'!BB18+'Add-On 9'!BB18+'Add-On 10'!BB18</f>
        <v/>
      </c>
      <c r="BC18" s="156">
        <f>'Platform P&amp;L'!BC18+'Add-On 1'!BC18+'Add-On 2'!BC18+'Add-On 3'!BC18+'Add-On 4'!BC18+'Add-On 5'!BC18+'Add-On 6'!BC18+'Add-On 7'!BC18+'Add-On 8'!BC18+'Add-On 9'!BC18+'Add-On 10'!BC18</f>
        <v/>
      </c>
      <c r="BD18" s="156">
        <f>'Platform P&amp;L'!BD18+'Add-On 1'!BD18+'Add-On 2'!BD18+'Add-On 3'!BD18+'Add-On 4'!BD18+'Add-On 5'!BD18+'Add-On 6'!BD18+'Add-On 7'!BD18+'Add-On 8'!BD18+'Add-On 9'!BD18+'Add-On 10'!BD18</f>
        <v/>
      </c>
      <c r="BE18" s="156">
        <f>'Platform P&amp;L'!BE18+'Add-On 1'!BE18+'Add-On 2'!BE18+'Add-On 3'!BE18+'Add-On 4'!BE18+'Add-On 5'!BE18+'Add-On 6'!BE18+'Add-On 7'!BE18+'Add-On 8'!BE18+'Add-On 9'!BE18+'Add-On 10'!BE18</f>
        <v/>
      </c>
      <c r="BF18" s="156">
        <f>'Platform P&amp;L'!BF18+'Add-On 1'!BF18+'Add-On 2'!BF18+'Add-On 3'!BF18+'Add-On 4'!BF18+'Add-On 5'!BF18+'Add-On 6'!BF18+'Add-On 7'!BF18+'Add-On 8'!BF18+'Add-On 9'!BF18+'Add-On 10'!BF18</f>
        <v/>
      </c>
      <c r="BG18" s="156">
        <f>'Platform P&amp;L'!BG18+'Add-On 1'!BG18+'Add-On 2'!BG18+'Add-On 3'!BG18+'Add-On 4'!BG18+'Add-On 5'!BG18+'Add-On 6'!BG18+'Add-On 7'!BG18+'Add-On 8'!BG18+'Add-On 9'!BG18+'Add-On 10'!BG18</f>
        <v/>
      </c>
      <c r="BH18" s="156">
        <f>'Platform P&amp;L'!BH18+'Add-On 1'!BH18+'Add-On 2'!BH18+'Add-On 3'!BH18+'Add-On 4'!BH18+'Add-On 5'!BH18+'Add-On 6'!BH18+'Add-On 7'!BH18+'Add-On 8'!BH18+'Add-On 9'!BH18+'Add-On 10'!BH18</f>
        <v/>
      </c>
      <c r="BI18" s="156">
        <f>'Platform P&amp;L'!BI18+'Add-On 1'!BI18+'Add-On 2'!BI18+'Add-On 3'!BI18+'Add-On 4'!BI18+'Add-On 5'!BI18+'Add-On 6'!BI18+'Add-On 7'!BI18+'Add-On 8'!BI18+'Add-On 9'!BI18+'Add-On 10'!BI18</f>
        <v/>
      </c>
      <c r="BJ18" s="156">
        <f>'Platform P&amp;L'!BJ18+'Add-On 1'!BJ18+'Add-On 2'!BJ18+'Add-On 3'!BJ18+'Add-On 4'!BJ18+'Add-On 5'!BJ18+'Add-On 6'!BJ18+'Add-On 7'!BJ18+'Add-On 8'!BJ18+'Add-On 9'!BJ18+'Add-On 10'!BJ18</f>
        <v/>
      </c>
      <c r="BK18" s="155" t="n"/>
      <c r="BL18" s="157">
        <f>C18+D18+E18+F18+G18+H18+I18+J18+K18+L18+M18+N18</f>
        <v/>
      </c>
      <c r="BM18" s="157">
        <f>O18+P18+Q18+R18+S18+T18+U18+V18+W18+X18+Y18+Z18</f>
        <v/>
      </c>
      <c r="BN18" s="157">
        <f>AA18+AB18+AC18+AD18+AE18+AF18+AG18+AH18+AI18+AJ18+AK18+AL18</f>
        <v/>
      </c>
      <c r="BO18" s="157">
        <f>AM18+AN18+AO18+AP18+AQ18+AR18+AS18+AT18+AU18+AV18+AW18+AX18</f>
        <v/>
      </c>
      <c r="BP18" s="157">
        <f>AY18+AZ18+BA18+BB18+BC18+BD18+BE18+BF18+BG18+BH18+BI18+BJ18</f>
        <v/>
      </c>
      <c r="BQ18" s="155" t="n"/>
    </row>
    <row r="19" ht="15" customHeight="1" s="104">
      <c r="A19" s="158" t="inlineStr">
        <is>
          <t xml:space="preserve">        % of Revenue</t>
        </is>
      </c>
      <c r="B19" s="155" t="n"/>
      <c r="C19" s="159">
        <f>IF(C6=0,0,C18/C6)</f>
        <v/>
      </c>
      <c r="D19" s="159">
        <f>IF(D6=0,0,D18/D6)</f>
        <v/>
      </c>
      <c r="E19" s="159">
        <f>IF(E6=0,0,E18/E6)</f>
        <v/>
      </c>
      <c r="F19" s="159">
        <f>IF(F6=0,0,F18/F6)</f>
        <v/>
      </c>
      <c r="G19" s="159">
        <f>IF(G6=0,0,G18/G6)</f>
        <v/>
      </c>
      <c r="H19" s="159">
        <f>IF(H6=0,0,H18/H6)</f>
        <v/>
      </c>
      <c r="I19" s="159">
        <f>IF(I6=0,0,I18/I6)</f>
        <v/>
      </c>
      <c r="J19" s="159">
        <f>IF(J6=0,0,J18/J6)</f>
        <v/>
      </c>
      <c r="K19" s="159">
        <f>IF(K6=0,0,K18/K6)</f>
        <v/>
      </c>
      <c r="L19" s="159">
        <f>IF(L6=0,0,L18/L6)</f>
        <v/>
      </c>
      <c r="M19" s="159">
        <f>IF(M6=0,0,M18/M6)</f>
        <v/>
      </c>
      <c r="N19" s="159">
        <f>IF(N6=0,0,N18/N6)</f>
        <v/>
      </c>
      <c r="O19" s="159">
        <f>IF(O6=0,0,O18/O6)</f>
        <v/>
      </c>
      <c r="P19" s="159">
        <f>IF(P6=0,0,P18/P6)</f>
        <v/>
      </c>
      <c r="Q19" s="159">
        <f>IF(Q6=0,0,Q18/Q6)</f>
        <v/>
      </c>
      <c r="R19" s="159">
        <f>IF(R6=0,0,R18/R6)</f>
        <v/>
      </c>
      <c r="S19" s="159">
        <f>IF(S6=0,0,S18/S6)</f>
        <v/>
      </c>
      <c r="T19" s="159">
        <f>IF(T6=0,0,T18/T6)</f>
        <v/>
      </c>
      <c r="U19" s="159">
        <f>IF(U6=0,0,U18/U6)</f>
        <v/>
      </c>
      <c r="V19" s="159">
        <f>IF(V6=0,0,V18/V6)</f>
        <v/>
      </c>
      <c r="W19" s="159">
        <f>IF(W6=0,0,W18/W6)</f>
        <v/>
      </c>
      <c r="X19" s="159">
        <f>IF(X6=0,0,X18/X6)</f>
        <v/>
      </c>
      <c r="Y19" s="159">
        <f>IF(Y6=0,0,Y18/Y6)</f>
        <v/>
      </c>
      <c r="Z19" s="159">
        <f>IF(Z6=0,0,Z18/Z6)</f>
        <v/>
      </c>
      <c r="AA19" s="159">
        <f>IF(AA6=0,0,AA18/AA6)</f>
        <v/>
      </c>
      <c r="AB19" s="159">
        <f>IF(AB6=0,0,AB18/AB6)</f>
        <v/>
      </c>
      <c r="AC19" s="159">
        <f>IF(AC6=0,0,AC18/AC6)</f>
        <v/>
      </c>
      <c r="AD19" s="159">
        <f>IF(AD6=0,0,AD18/AD6)</f>
        <v/>
      </c>
      <c r="AE19" s="159">
        <f>IF(AE6=0,0,AE18/AE6)</f>
        <v/>
      </c>
      <c r="AF19" s="159">
        <f>IF(AF6=0,0,AF18/AF6)</f>
        <v/>
      </c>
      <c r="AG19" s="159">
        <f>IF(AG6=0,0,AG18/AG6)</f>
        <v/>
      </c>
      <c r="AH19" s="159">
        <f>IF(AH6=0,0,AH18/AH6)</f>
        <v/>
      </c>
      <c r="AI19" s="159">
        <f>IF(AI6=0,0,AI18/AI6)</f>
        <v/>
      </c>
      <c r="AJ19" s="159">
        <f>IF(AJ6=0,0,AJ18/AJ6)</f>
        <v/>
      </c>
      <c r="AK19" s="159">
        <f>IF(AK6=0,0,AK18/AK6)</f>
        <v/>
      </c>
      <c r="AL19" s="159">
        <f>IF(AL6=0,0,AL18/AL6)</f>
        <v/>
      </c>
      <c r="AM19" s="159">
        <f>IF(AM6=0,0,AM18/AM6)</f>
        <v/>
      </c>
      <c r="AN19" s="159">
        <f>IF(AN6=0,0,AN18/AN6)</f>
        <v/>
      </c>
      <c r="AO19" s="159">
        <f>IF(AO6=0,0,AO18/AO6)</f>
        <v/>
      </c>
      <c r="AP19" s="159">
        <f>IF(AP6=0,0,AP18/AP6)</f>
        <v/>
      </c>
      <c r="AQ19" s="159">
        <f>IF(AQ6=0,0,AQ18/AQ6)</f>
        <v/>
      </c>
      <c r="AR19" s="159">
        <f>IF(AR6=0,0,AR18/AR6)</f>
        <v/>
      </c>
      <c r="AS19" s="159">
        <f>IF(AS6=0,0,AS18/AS6)</f>
        <v/>
      </c>
      <c r="AT19" s="159">
        <f>IF(AT6=0,0,AT18/AT6)</f>
        <v/>
      </c>
      <c r="AU19" s="159">
        <f>IF(AU6=0,0,AU18/AU6)</f>
        <v/>
      </c>
      <c r="AV19" s="159">
        <f>IF(AV6=0,0,AV18/AV6)</f>
        <v/>
      </c>
      <c r="AW19" s="159">
        <f>IF(AW6=0,0,AW18/AW6)</f>
        <v/>
      </c>
      <c r="AX19" s="159">
        <f>IF(AX6=0,0,AX18/AX6)</f>
        <v/>
      </c>
      <c r="AY19" s="159">
        <f>IF(AY6=0,0,AY18/AY6)</f>
        <v/>
      </c>
      <c r="AZ19" s="159">
        <f>IF(AZ6=0,0,AZ18/AZ6)</f>
        <v/>
      </c>
      <c r="BA19" s="159">
        <f>IF(BA6=0,0,BA18/BA6)</f>
        <v/>
      </c>
      <c r="BB19" s="159">
        <f>IF(BB6=0,0,BB18/BB6)</f>
        <v/>
      </c>
      <c r="BC19" s="159">
        <f>IF(BC6=0,0,BC18/BC6)</f>
        <v/>
      </c>
      <c r="BD19" s="159">
        <f>IF(BD6=0,0,BD18/BD6)</f>
        <v/>
      </c>
      <c r="BE19" s="159">
        <f>IF(BE6=0,0,BE18/BE6)</f>
        <v/>
      </c>
      <c r="BF19" s="159">
        <f>IF(BF6=0,0,BF18/BF6)</f>
        <v/>
      </c>
      <c r="BG19" s="159">
        <f>IF(BG6=0,0,BG18/BG6)</f>
        <v/>
      </c>
      <c r="BH19" s="159">
        <f>IF(BH6=0,0,BH18/BH6)</f>
        <v/>
      </c>
      <c r="BI19" s="159">
        <f>IF(BI6=0,0,BI18/BI6)</f>
        <v/>
      </c>
      <c r="BJ19" s="159">
        <f>IF(BJ6=0,0,BJ18/BJ6)</f>
        <v/>
      </c>
      <c r="BK19" s="155" t="n"/>
      <c r="BL19" s="160">
        <f>IF((C6+D6+E6+F6+G6+H6+I6+J6+K6+L6+M6+N6)=0,0,(C18+D18+E18+F18+G18+H18+I18+J18+K18+L18+M18+N18)/(C6+D6+E6+F6+G6+H6+I6+J6+K6+L6+M6+N6))</f>
        <v/>
      </c>
      <c r="BM19" s="160">
        <f>IF((O6+P6+Q6+R6+S6+T6+U6+V6+W6+X6+Y6+Z6)=0,0,(O18+P18+Q18+R18+S18+T18+U18+V18+W18+X18+Y18+Z18)/(O6+P6+Q6+R6+S6+T6+U6+V6+W6+X6+Y6+Z6))</f>
        <v/>
      </c>
      <c r="BN19" s="160">
        <f>IF((AA6+AB6+AC6+AD6+AE6+AF6+AG6+AH6+AI6+AJ6+AK6+AL6)=0,0,(AA18+AB18+AC18+AD18+AE18+AF18+AG18+AH18+AI18+AJ18+AK18+AL18)/(AA6+AB6+AC6+AD6+AE6+AF6+AG6+AH6+AI6+AJ6+AK6+AL6))</f>
        <v/>
      </c>
      <c r="BO19" s="160">
        <f>IF((AM6+AN6+AO6+AP6+AQ6+AR6+AS6+AT6+AU6+AV6+AW6+AX6)=0,0,(AM18+AN18+AO18+AP18+AQ18+AR18+AS18+AT18+AU18+AV18+AW18+AX18)/(AM6+AN6+AO6+AP6+AQ6+AR6+AS6+AT6+AU6+AV6+AW6+AX6))</f>
        <v/>
      </c>
      <c r="BP19" s="160">
        <f>IF((AY6+AZ6+BA6+BB6+BC6+BD6+BE6+BF6+BG6+BH6+BI6+BJ6)=0,0,(AY18+AZ18+BA18+BB18+BC18+BD18+BE18+BF18+BG18+BH18+BI18+BJ18)/(AY6+AZ6+BA6+BB6+BC6+BD6+BE6+BF6+BG6+BH6+BI6+BJ6))</f>
        <v/>
      </c>
      <c r="BQ19" s="155" t="n"/>
    </row>
    <row r="20" ht="15" customHeight="1" s="104">
      <c r="A20" s="116" t="inlineStr">
        <is>
          <t>Total Operating Expenses</t>
        </is>
      </c>
      <c r="B20" s="155" t="n"/>
      <c r="C20" s="151">
        <f>C8+C10+C12+C14+C16+C18</f>
        <v/>
      </c>
      <c r="D20" s="151">
        <f>D8+D10+D12+D14+D16+D18</f>
        <v/>
      </c>
      <c r="E20" s="151">
        <f>E8+E10+E12+E14+E16+E18</f>
        <v/>
      </c>
      <c r="F20" s="151">
        <f>F8+F10+F12+F14+F16+F18</f>
        <v/>
      </c>
      <c r="G20" s="151">
        <f>G8+G10+G12+G14+G16+G18</f>
        <v/>
      </c>
      <c r="H20" s="151">
        <f>H8+H10+H12+H14+H16+H18</f>
        <v/>
      </c>
      <c r="I20" s="151">
        <f>I8+I10+I12+I14+I16+I18</f>
        <v/>
      </c>
      <c r="J20" s="151">
        <f>J8+J10+J12+J14+J16+J18</f>
        <v/>
      </c>
      <c r="K20" s="151">
        <f>K8+K10+K12+K14+K16+K18</f>
        <v/>
      </c>
      <c r="L20" s="151">
        <f>L8+L10+L12+L14+L16+L18</f>
        <v/>
      </c>
      <c r="M20" s="151">
        <f>M8+M10+M12+M14+M16+M18</f>
        <v/>
      </c>
      <c r="N20" s="151">
        <f>N8+N10+N12+N14+N16+N18</f>
        <v/>
      </c>
      <c r="O20" s="151">
        <f>O8+O10+O12+O14+O16+O18</f>
        <v/>
      </c>
      <c r="P20" s="151">
        <f>P8+P10+P12+P14+P16+P18</f>
        <v/>
      </c>
      <c r="Q20" s="151">
        <f>Q8+Q10+Q12+Q14+Q16+Q18</f>
        <v/>
      </c>
      <c r="R20" s="151">
        <f>R8+R10+R12+R14+R16+R18</f>
        <v/>
      </c>
      <c r="S20" s="151">
        <f>S8+S10+S12+S14+S16+S18</f>
        <v/>
      </c>
      <c r="T20" s="151">
        <f>T8+T10+T12+T14+T16+T18</f>
        <v/>
      </c>
      <c r="U20" s="151">
        <f>U8+U10+U12+U14+U16+U18</f>
        <v/>
      </c>
      <c r="V20" s="151">
        <f>V8+V10+V12+V14+V16+V18</f>
        <v/>
      </c>
      <c r="W20" s="151">
        <f>W8+W10+W12+W14+W16+W18</f>
        <v/>
      </c>
      <c r="X20" s="151">
        <f>X8+X10+X12+X14+X16+X18</f>
        <v/>
      </c>
      <c r="Y20" s="151">
        <f>Y8+Y10+Y12+Y14+Y16+Y18</f>
        <v/>
      </c>
      <c r="Z20" s="151">
        <f>Z8+Z10+Z12+Z14+Z16+Z18</f>
        <v/>
      </c>
      <c r="AA20" s="151">
        <f>AA8+AA10+AA12+AA14+AA16+AA18</f>
        <v/>
      </c>
      <c r="AB20" s="151">
        <f>AB8+AB10+AB12+AB14+AB16+AB18</f>
        <v/>
      </c>
      <c r="AC20" s="151">
        <f>AC8+AC10+AC12+AC14+AC16+AC18</f>
        <v/>
      </c>
      <c r="AD20" s="151">
        <f>AD8+AD10+AD12+AD14+AD16+AD18</f>
        <v/>
      </c>
      <c r="AE20" s="151">
        <f>AE8+AE10+AE12+AE14+AE16+AE18</f>
        <v/>
      </c>
      <c r="AF20" s="151">
        <f>AF8+AF10+AF12+AF14+AF16+AF18</f>
        <v/>
      </c>
      <c r="AG20" s="151">
        <f>AG8+AG10+AG12+AG14+AG16+AG18</f>
        <v/>
      </c>
      <c r="AH20" s="151">
        <f>AH8+AH10+AH12+AH14+AH16+AH18</f>
        <v/>
      </c>
      <c r="AI20" s="151">
        <f>AI8+AI10+AI12+AI14+AI16+AI18</f>
        <v/>
      </c>
      <c r="AJ20" s="151">
        <f>AJ8+AJ10+AJ12+AJ14+AJ16+AJ18</f>
        <v/>
      </c>
      <c r="AK20" s="151">
        <f>AK8+AK10+AK12+AK14+AK16+AK18</f>
        <v/>
      </c>
      <c r="AL20" s="151">
        <f>AL8+AL10+AL12+AL14+AL16+AL18</f>
        <v/>
      </c>
      <c r="AM20" s="151">
        <f>AM8+AM10+AM12+AM14+AM16+AM18</f>
        <v/>
      </c>
      <c r="AN20" s="151">
        <f>AN8+AN10+AN12+AN14+AN16+AN18</f>
        <v/>
      </c>
      <c r="AO20" s="151">
        <f>AO8+AO10+AO12+AO14+AO16+AO18</f>
        <v/>
      </c>
      <c r="AP20" s="151">
        <f>AP8+AP10+AP12+AP14+AP16+AP18</f>
        <v/>
      </c>
      <c r="AQ20" s="151">
        <f>AQ8+AQ10+AQ12+AQ14+AQ16+AQ18</f>
        <v/>
      </c>
      <c r="AR20" s="151">
        <f>AR8+AR10+AR12+AR14+AR16+AR18</f>
        <v/>
      </c>
      <c r="AS20" s="151">
        <f>AS8+AS10+AS12+AS14+AS16+AS18</f>
        <v/>
      </c>
      <c r="AT20" s="151">
        <f>AT8+AT10+AT12+AT14+AT16+AT18</f>
        <v/>
      </c>
      <c r="AU20" s="151">
        <f>AU8+AU10+AU12+AU14+AU16+AU18</f>
        <v/>
      </c>
      <c r="AV20" s="151">
        <f>AV8+AV10+AV12+AV14+AV16+AV18</f>
        <v/>
      </c>
      <c r="AW20" s="151">
        <f>AW8+AW10+AW12+AW14+AW16+AW18</f>
        <v/>
      </c>
      <c r="AX20" s="151">
        <f>AX8+AX10+AX12+AX14+AX16+AX18</f>
        <v/>
      </c>
      <c r="AY20" s="151">
        <f>AY8+AY10+AY12+AY14+AY16+AY18</f>
        <v/>
      </c>
      <c r="AZ20" s="151">
        <f>AZ8+AZ10+AZ12+AZ14+AZ16+AZ18</f>
        <v/>
      </c>
      <c r="BA20" s="151">
        <f>BA8+BA10+BA12+BA14+BA16+BA18</f>
        <v/>
      </c>
      <c r="BB20" s="151">
        <f>BB8+BB10+BB12+BB14+BB16+BB18</f>
        <v/>
      </c>
      <c r="BC20" s="151">
        <f>BC8+BC10+BC12+BC14+BC16+BC18</f>
        <v/>
      </c>
      <c r="BD20" s="151">
        <f>BD8+BD10+BD12+BD14+BD16+BD18</f>
        <v/>
      </c>
      <c r="BE20" s="151">
        <f>BE8+BE10+BE12+BE14+BE16+BE18</f>
        <v/>
      </c>
      <c r="BF20" s="151">
        <f>BF8+BF10+BF12+BF14+BF16+BF18</f>
        <v/>
      </c>
      <c r="BG20" s="151">
        <f>BG8+BG10+BG12+BG14+BG16+BG18</f>
        <v/>
      </c>
      <c r="BH20" s="151">
        <f>BH8+BH10+BH12+BH14+BH16+BH18</f>
        <v/>
      </c>
      <c r="BI20" s="151">
        <f>BI8+BI10+BI12+BI14+BI16+BI18</f>
        <v/>
      </c>
      <c r="BJ20" s="151">
        <f>BJ8+BJ10+BJ12+BJ14+BJ16+BJ18</f>
        <v/>
      </c>
      <c r="BK20" s="155" t="n"/>
      <c r="BL20" s="152">
        <f>C20+D20+E20+F20+G20+H20+I20+J20+K20+L20+M20+N20</f>
        <v/>
      </c>
      <c r="BM20" s="152">
        <f>O20+P20+Q20+R20+S20+T20+U20+V20+W20+X20+Y20+Z20</f>
        <v/>
      </c>
      <c r="BN20" s="152">
        <f>AA20+AB20+AC20+AD20+AE20+AF20+AG20+AH20+AI20+AJ20+AK20+AL20</f>
        <v/>
      </c>
      <c r="BO20" s="152">
        <f>AM20+AN20+AO20+AP20+AQ20+AR20+AS20+AT20+AU20+AV20+AW20+AX20</f>
        <v/>
      </c>
      <c r="BP20" s="152">
        <f>AY20+AZ20+BA20+BB20+BC20+BD20+BE20+BF20+BG20+BH20+BI20+BJ20</f>
        <v/>
      </c>
      <c r="BQ20" s="155" t="n"/>
    </row>
    <row r="21" ht="15" customHeight="1" s="104">
      <c r="A21" s="107" t="n"/>
      <c r="B21" s="155" t="n"/>
      <c r="C21" s="161" t="n"/>
      <c r="D21" s="161" t="n"/>
      <c r="E21" s="161" t="n"/>
      <c r="F21" s="161" t="n"/>
      <c r="G21" s="161" t="n"/>
      <c r="H21" s="161" t="n"/>
      <c r="I21" s="161" t="n"/>
      <c r="J21" s="161" t="n"/>
      <c r="K21" s="161" t="n"/>
      <c r="L21" s="161" t="n"/>
      <c r="M21" s="161" t="n"/>
      <c r="N21" s="161" t="n"/>
      <c r="O21" s="161" t="n"/>
      <c r="P21" s="161" t="n"/>
      <c r="Q21" s="161" t="n"/>
      <c r="R21" s="161" t="n"/>
      <c r="S21" s="161" t="n"/>
      <c r="T21" s="161" t="n"/>
      <c r="U21" s="161" t="n"/>
      <c r="V21" s="161" t="n"/>
      <c r="W21" s="161" t="n"/>
      <c r="X21" s="161" t="n"/>
      <c r="Y21" s="161" t="n"/>
      <c r="Z21" s="161" t="n"/>
      <c r="AA21" s="161" t="n"/>
      <c r="AB21" s="161" t="n"/>
      <c r="AC21" s="161" t="n"/>
      <c r="AD21" s="161" t="n"/>
      <c r="AE21" s="161" t="n"/>
      <c r="AF21" s="161" t="n"/>
      <c r="AG21" s="161" t="n"/>
      <c r="AH21" s="161" t="n"/>
      <c r="AI21" s="161" t="n"/>
      <c r="AJ21" s="161" t="n"/>
      <c r="AK21" s="161" t="n"/>
      <c r="AL21" s="161" t="n"/>
      <c r="AM21" s="161" t="n"/>
      <c r="AN21" s="161" t="n"/>
      <c r="AO21" s="161" t="n"/>
      <c r="AP21" s="161" t="n"/>
      <c r="AQ21" s="161" t="n"/>
      <c r="AR21" s="161" t="n"/>
      <c r="AS21" s="161" t="n"/>
      <c r="AT21" s="161" t="n"/>
      <c r="AU21" s="161" t="n"/>
      <c r="AV21" s="161" t="n"/>
      <c r="AW21" s="161" t="n"/>
      <c r="AX21" s="161" t="n"/>
      <c r="AY21" s="161" t="n"/>
      <c r="AZ21" s="161" t="n"/>
      <c r="BA21" s="161" t="n"/>
      <c r="BB21" s="161" t="n"/>
      <c r="BC21" s="161" t="n"/>
      <c r="BD21" s="161" t="n"/>
      <c r="BE21" s="161" t="n"/>
      <c r="BF21" s="161" t="n"/>
      <c r="BG21" s="161" t="n"/>
      <c r="BH21" s="161" t="n"/>
      <c r="BI21" s="161" t="n"/>
      <c r="BJ21" s="161" t="n"/>
      <c r="BK21" s="155" t="n"/>
      <c r="BL21" s="161" t="n"/>
      <c r="BM21" s="161" t="n"/>
      <c r="BN21" s="161" t="n"/>
      <c r="BO21" s="161" t="n"/>
      <c r="BP21" s="161" t="n"/>
      <c r="BQ21" s="155" t="n"/>
    </row>
    <row r="22" ht="13.5" customHeight="1" s="104">
      <c r="A22" s="106" t="inlineStr">
        <is>
          <t>EBITDA</t>
        </is>
      </c>
      <c r="B22" s="162" t="n"/>
      <c r="C22" s="163" t="n"/>
      <c r="D22" s="163" t="n"/>
      <c r="E22" s="163" t="n"/>
      <c r="F22" s="163" t="n"/>
      <c r="G22" s="163" t="n"/>
      <c r="H22" s="163" t="n"/>
      <c r="I22" s="163" t="n"/>
      <c r="J22" s="163" t="n"/>
      <c r="K22" s="163" t="n"/>
      <c r="L22" s="163" t="n"/>
      <c r="M22" s="163" t="n"/>
      <c r="N22" s="163" t="n"/>
      <c r="O22" s="163" t="n"/>
      <c r="P22" s="163" t="n"/>
      <c r="Q22" s="163" t="n"/>
      <c r="R22" s="163" t="n"/>
      <c r="S22" s="163" t="n"/>
      <c r="T22" s="163" t="n"/>
      <c r="U22" s="163" t="n"/>
      <c r="V22" s="163" t="n"/>
      <c r="W22" s="163" t="n"/>
      <c r="X22" s="163" t="n"/>
      <c r="Y22" s="163" t="n"/>
      <c r="Z22" s="163" t="n"/>
      <c r="AA22" s="163" t="n"/>
      <c r="AB22" s="163" t="n"/>
      <c r="AC22" s="163" t="n"/>
      <c r="AD22" s="163" t="n"/>
      <c r="AE22" s="163" t="n"/>
      <c r="AF22" s="163" t="n"/>
      <c r="AG22" s="163" t="n"/>
      <c r="AH22" s="163" t="n"/>
      <c r="AI22" s="163" t="n"/>
      <c r="AJ22" s="163" t="n"/>
      <c r="AK22" s="163" t="n"/>
      <c r="AL22" s="163" t="n"/>
      <c r="AM22" s="163" t="n"/>
      <c r="AN22" s="163" t="n"/>
      <c r="AO22" s="163" t="n"/>
      <c r="AP22" s="163" t="n"/>
      <c r="AQ22" s="163" t="n"/>
      <c r="AR22" s="163" t="n"/>
      <c r="AS22" s="163" t="n"/>
      <c r="AT22" s="163" t="n"/>
      <c r="AU22" s="163" t="n"/>
      <c r="AV22" s="163" t="n"/>
      <c r="AW22" s="163" t="n"/>
      <c r="AX22" s="163" t="n"/>
      <c r="AY22" s="163" t="n"/>
      <c r="AZ22" s="163" t="n"/>
      <c r="BA22" s="163" t="n"/>
      <c r="BB22" s="163" t="n"/>
      <c r="BC22" s="163" t="n"/>
      <c r="BD22" s="163" t="n"/>
      <c r="BE22" s="163" t="n"/>
      <c r="BF22" s="163" t="n"/>
      <c r="BG22" s="163" t="n"/>
      <c r="BH22" s="163" t="n"/>
      <c r="BI22" s="163" t="n"/>
      <c r="BJ22" s="163" t="n"/>
      <c r="BK22" s="162" t="n"/>
      <c r="BL22" s="163" t="n"/>
      <c r="BM22" s="163" t="n"/>
      <c r="BN22" s="163" t="n"/>
      <c r="BO22" s="163" t="n"/>
      <c r="BP22" s="163" t="n"/>
      <c r="BQ22" s="162" t="n"/>
    </row>
    <row r="23" ht="15" customHeight="1" s="104">
      <c r="A23" s="116" t="inlineStr">
        <is>
          <t>EBITDA</t>
        </is>
      </c>
      <c r="B23" s="155" t="n"/>
      <c r="C23" s="151">
        <f>C6-C20</f>
        <v/>
      </c>
      <c r="D23" s="151">
        <f>D6-D20</f>
        <v/>
      </c>
      <c r="E23" s="151">
        <f>E6-E20</f>
        <v/>
      </c>
      <c r="F23" s="151">
        <f>F6-F20</f>
        <v/>
      </c>
      <c r="G23" s="151">
        <f>G6-G20</f>
        <v/>
      </c>
      <c r="H23" s="151">
        <f>H6-H20</f>
        <v/>
      </c>
      <c r="I23" s="151">
        <f>I6-I20</f>
        <v/>
      </c>
      <c r="J23" s="151">
        <f>J6-J20</f>
        <v/>
      </c>
      <c r="K23" s="151">
        <f>K6-K20</f>
        <v/>
      </c>
      <c r="L23" s="151">
        <f>L6-L20</f>
        <v/>
      </c>
      <c r="M23" s="151">
        <f>M6-M20</f>
        <v/>
      </c>
      <c r="N23" s="151">
        <f>N6-N20</f>
        <v/>
      </c>
      <c r="O23" s="151">
        <f>O6-O20</f>
        <v/>
      </c>
      <c r="P23" s="151">
        <f>P6-P20</f>
        <v/>
      </c>
      <c r="Q23" s="151">
        <f>Q6-Q20</f>
        <v/>
      </c>
      <c r="R23" s="151">
        <f>R6-R20</f>
        <v/>
      </c>
      <c r="S23" s="151">
        <f>S6-S20</f>
        <v/>
      </c>
      <c r="T23" s="151">
        <f>T6-T20</f>
        <v/>
      </c>
      <c r="U23" s="151">
        <f>U6-U20</f>
        <v/>
      </c>
      <c r="V23" s="151">
        <f>V6-V20</f>
        <v/>
      </c>
      <c r="W23" s="151">
        <f>W6-W20</f>
        <v/>
      </c>
      <c r="X23" s="151">
        <f>X6-X20</f>
        <v/>
      </c>
      <c r="Y23" s="151">
        <f>Y6-Y20</f>
        <v/>
      </c>
      <c r="Z23" s="151">
        <f>Z6-Z20</f>
        <v/>
      </c>
      <c r="AA23" s="151">
        <f>AA6-AA20</f>
        <v/>
      </c>
      <c r="AB23" s="151">
        <f>AB6-AB20</f>
        <v/>
      </c>
      <c r="AC23" s="151">
        <f>AC6-AC20</f>
        <v/>
      </c>
      <c r="AD23" s="151">
        <f>AD6-AD20</f>
        <v/>
      </c>
      <c r="AE23" s="151">
        <f>AE6-AE20</f>
        <v/>
      </c>
      <c r="AF23" s="151">
        <f>AF6-AF20</f>
        <v/>
      </c>
      <c r="AG23" s="151">
        <f>AG6-AG20</f>
        <v/>
      </c>
      <c r="AH23" s="151">
        <f>AH6-AH20</f>
        <v/>
      </c>
      <c r="AI23" s="151">
        <f>AI6-AI20</f>
        <v/>
      </c>
      <c r="AJ23" s="151">
        <f>AJ6-AJ20</f>
        <v/>
      </c>
      <c r="AK23" s="151">
        <f>AK6-AK20</f>
        <v/>
      </c>
      <c r="AL23" s="151">
        <f>AL6-AL20</f>
        <v/>
      </c>
      <c r="AM23" s="151">
        <f>AM6-AM20</f>
        <v/>
      </c>
      <c r="AN23" s="151">
        <f>AN6-AN20</f>
        <v/>
      </c>
      <c r="AO23" s="151">
        <f>AO6-AO20</f>
        <v/>
      </c>
      <c r="AP23" s="151">
        <f>AP6-AP20</f>
        <v/>
      </c>
      <c r="AQ23" s="151">
        <f>AQ6-AQ20</f>
        <v/>
      </c>
      <c r="AR23" s="151">
        <f>AR6-AR20</f>
        <v/>
      </c>
      <c r="AS23" s="151">
        <f>AS6-AS20</f>
        <v/>
      </c>
      <c r="AT23" s="151">
        <f>AT6-AT20</f>
        <v/>
      </c>
      <c r="AU23" s="151">
        <f>AU6-AU20</f>
        <v/>
      </c>
      <c r="AV23" s="151">
        <f>AV6-AV20</f>
        <v/>
      </c>
      <c r="AW23" s="151">
        <f>AW6-AW20</f>
        <v/>
      </c>
      <c r="AX23" s="151">
        <f>AX6-AX20</f>
        <v/>
      </c>
      <c r="AY23" s="151">
        <f>AY6-AY20</f>
        <v/>
      </c>
      <c r="AZ23" s="151">
        <f>AZ6-AZ20</f>
        <v/>
      </c>
      <c r="BA23" s="151">
        <f>BA6-BA20</f>
        <v/>
      </c>
      <c r="BB23" s="151">
        <f>BB6-BB20</f>
        <v/>
      </c>
      <c r="BC23" s="151">
        <f>BC6-BC20</f>
        <v/>
      </c>
      <c r="BD23" s="151">
        <f>BD6-BD20</f>
        <v/>
      </c>
      <c r="BE23" s="151">
        <f>BE6-BE20</f>
        <v/>
      </c>
      <c r="BF23" s="151">
        <f>BF6-BF20</f>
        <v/>
      </c>
      <c r="BG23" s="151">
        <f>BG6-BG20</f>
        <v/>
      </c>
      <c r="BH23" s="151">
        <f>BH6-BH20</f>
        <v/>
      </c>
      <c r="BI23" s="151">
        <f>BI6-BI20</f>
        <v/>
      </c>
      <c r="BJ23" s="151">
        <f>BJ6-BJ20</f>
        <v/>
      </c>
      <c r="BK23" s="155" t="n"/>
      <c r="BL23" s="152">
        <f>C23+D23+E23+F23+G23+H23+I23+J23+K23+L23+M23+N23</f>
        <v/>
      </c>
      <c r="BM23" s="152">
        <f>O23+P23+Q23+R23+S23+T23+U23+V23+W23+X23+Y23+Z23</f>
        <v/>
      </c>
      <c r="BN23" s="152">
        <f>AA23+AB23+AC23+AD23+AE23+AF23+AG23+AH23+AI23+AJ23+AK23+AL23</f>
        <v/>
      </c>
      <c r="BO23" s="152">
        <f>AM23+AN23+AO23+AP23+AQ23+AR23+AS23+AT23+AU23+AV23+AW23+AX23</f>
        <v/>
      </c>
      <c r="BP23" s="152">
        <f>AY23+AZ23+BA23+BB23+BC23+BD23+BE23+BF23+BG23+BH23+BI23+BJ23</f>
        <v/>
      </c>
      <c r="BQ23" s="155" t="n"/>
    </row>
    <row r="24" ht="15" customHeight="1" s="104">
      <c r="A24" s="158" t="inlineStr">
        <is>
          <t xml:space="preserve">        EBITDA Margin %</t>
        </is>
      </c>
      <c r="B24" s="155" t="n"/>
      <c r="C24" s="159">
        <f>IF(C6=0,0,C23/C6)</f>
        <v/>
      </c>
      <c r="D24" s="159">
        <f>IF(D6=0,0,D23/D6)</f>
        <v/>
      </c>
      <c r="E24" s="159">
        <f>IF(E6=0,0,E23/E6)</f>
        <v/>
      </c>
      <c r="F24" s="159">
        <f>IF(F6=0,0,F23/F6)</f>
        <v/>
      </c>
      <c r="G24" s="159">
        <f>IF(G6=0,0,G23/G6)</f>
        <v/>
      </c>
      <c r="H24" s="159">
        <f>IF(H6=0,0,H23/H6)</f>
        <v/>
      </c>
      <c r="I24" s="159">
        <f>IF(I6=0,0,I23/I6)</f>
        <v/>
      </c>
      <c r="J24" s="159">
        <f>IF(J6=0,0,J23/J6)</f>
        <v/>
      </c>
      <c r="K24" s="159">
        <f>IF(K6=0,0,K23/K6)</f>
        <v/>
      </c>
      <c r="L24" s="159">
        <f>IF(L6=0,0,L23/L6)</f>
        <v/>
      </c>
      <c r="M24" s="159">
        <f>IF(M6=0,0,M23/M6)</f>
        <v/>
      </c>
      <c r="N24" s="159">
        <f>IF(N6=0,0,N23/N6)</f>
        <v/>
      </c>
      <c r="O24" s="159">
        <f>IF(O6=0,0,O23/O6)</f>
        <v/>
      </c>
      <c r="P24" s="159">
        <f>IF(P6=0,0,P23/P6)</f>
        <v/>
      </c>
      <c r="Q24" s="159">
        <f>IF(Q6=0,0,Q23/Q6)</f>
        <v/>
      </c>
      <c r="R24" s="159">
        <f>IF(R6=0,0,R23/R6)</f>
        <v/>
      </c>
      <c r="S24" s="159">
        <f>IF(S6=0,0,S23/S6)</f>
        <v/>
      </c>
      <c r="T24" s="159">
        <f>IF(T6=0,0,T23/T6)</f>
        <v/>
      </c>
      <c r="U24" s="159">
        <f>IF(U6=0,0,U23/U6)</f>
        <v/>
      </c>
      <c r="V24" s="159">
        <f>IF(V6=0,0,V23/V6)</f>
        <v/>
      </c>
      <c r="W24" s="159">
        <f>IF(W6=0,0,W23/W6)</f>
        <v/>
      </c>
      <c r="X24" s="159">
        <f>IF(X6=0,0,X23/X6)</f>
        <v/>
      </c>
      <c r="Y24" s="159">
        <f>IF(Y6=0,0,Y23/Y6)</f>
        <v/>
      </c>
      <c r="Z24" s="159">
        <f>IF(Z6=0,0,Z23/Z6)</f>
        <v/>
      </c>
      <c r="AA24" s="159">
        <f>IF(AA6=0,0,AA23/AA6)</f>
        <v/>
      </c>
      <c r="AB24" s="159">
        <f>IF(AB6=0,0,AB23/AB6)</f>
        <v/>
      </c>
      <c r="AC24" s="159">
        <f>IF(AC6=0,0,AC23/AC6)</f>
        <v/>
      </c>
      <c r="AD24" s="159">
        <f>IF(AD6=0,0,AD23/AD6)</f>
        <v/>
      </c>
      <c r="AE24" s="159">
        <f>IF(AE6=0,0,AE23/AE6)</f>
        <v/>
      </c>
      <c r="AF24" s="159">
        <f>IF(AF6=0,0,AF23/AF6)</f>
        <v/>
      </c>
      <c r="AG24" s="159">
        <f>IF(AG6=0,0,AG23/AG6)</f>
        <v/>
      </c>
      <c r="AH24" s="159">
        <f>IF(AH6=0,0,AH23/AH6)</f>
        <v/>
      </c>
      <c r="AI24" s="159">
        <f>IF(AI6=0,0,AI23/AI6)</f>
        <v/>
      </c>
      <c r="AJ24" s="159">
        <f>IF(AJ6=0,0,AJ23/AJ6)</f>
        <v/>
      </c>
      <c r="AK24" s="159">
        <f>IF(AK6=0,0,AK23/AK6)</f>
        <v/>
      </c>
      <c r="AL24" s="159">
        <f>IF(AL6=0,0,AL23/AL6)</f>
        <v/>
      </c>
      <c r="AM24" s="159">
        <f>IF(AM6=0,0,AM23/AM6)</f>
        <v/>
      </c>
      <c r="AN24" s="159">
        <f>IF(AN6=0,0,AN23/AN6)</f>
        <v/>
      </c>
      <c r="AO24" s="159">
        <f>IF(AO6=0,0,AO23/AO6)</f>
        <v/>
      </c>
      <c r="AP24" s="159">
        <f>IF(AP6=0,0,AP23/AP6)</f>
        <v/>
      </c>
      <c r="AQ24" s="159">
        <f>IF(AQ6=0,0,AQ23/AQ6)</f>
        <v/>
      </c>
      <c r="AR24" s="159">
        <f>IF(AR6=0,0,AR23/AR6)</f>
        <v/>
      </c>
      <c r="AS24" s="159">
        <f>IF(AS6=0,0,AS23/AS6)</f>
        <v/>
      </c>
      <c r="AT24" s="159">
        <f>IF(AT6=0,0,AT23/AT6)</f>
        <v/>
      </c>
      <c r="AU24" s="159">
        <f>IF(AU6=0,0,AU23/AU6)</f>
        <v/>
      </c>
      <c r="AV24" s="159">
        <f>IF(AV6=0,0,AV23/AV6)</f>
        <v/>
      </c>
      <c r="AW24" s="159">
        <f>IF(AW6=0,0,AW23/AW6)</f>
        <v/>
      </c>
      <c r="AX24" s="159">
        <f>IF(AX6=0,0,AX23/AX6)</f>
        <v/>
      </c>
      <c r="AY24" s="159">
        <f>IF(AY6=0,0,AY23/AY6)</f>
        <v/>
      </c>
      <c r="AZ24" s="159">
        <f>IF(AZ6=0,0,AZ23/AZ6)</f>
        <v/>
      </c>
      <c r="BA24" s="159">
        <f>IF(BA6=0,0,BA23/BA6)</f>
        <v/>
      </c>
      <c r="BB24" s="159">
        <f>IF(BB6=0,0,BB23/BB6)</f>
        <v/>
      </c>
      <c r="BC24" s="159">
        <f>IF(BC6=0,0,BC23/BC6)</f>
        <v/>
      </c>
      <c r="BD24" s="159">
        <f>IF(BD6=0,0,BD23/BD6)</f>
        <v/>
      </c>
      <c r="BE24" s="159">
        <f>IF(BE6=0,0,BE23/BE6)</f>
        <v/>
      </c>
      <c r="BF24" s="159">
        <f>IF(BF6=0,0,BF23/BF6)</f>
        <v/>
      </c>
      <c r="BG24" s="159">
        <f>IF(BG6=0,0,BG23/BG6)</f>
        <v/>
      </c>
      <c r="BH24" s="159">
        <f>IF(BH6=0,0,BH23/BH6)</f>
        <v/>
      </c>
      <c r="BI24" s="159">
        <f>IF(BI6=0,0,BI23/BI6)</f>
        <v/>
      </c>
      <c r="BJ24" s="159">
        <f>IF(BJ6=0,0,BJ23/BJ6)</f>
        <v/>
      </c>
      <c r="BK24" s="155" t="n"/>
      <c r="BL24" s="160">
        <f>IF((C6+D6+E6+F6+G6+H6+I6+J6+K6+L6+M6+N6)=0,0,(C23+D23+E23+F23+G23+H23+I23+J23+K23+L23+M23+N23)/(C6+D6+E6+F6+G6+H6+I6+J6+K6+L6+M6+N6))</f>
        <v/>
      </c>
      <c r="BM24" s="160">
        <f>IF((O6+P6+Q6+R6+S6+T6+U6+V6+W6+X6+Y6+Z6)=0,0,(O23+P23+Q23+R23+S23+T23+U23+V23+W23+X23+Y23+Z23)/(O6+P6+Q6+R6+S6+T6+U6+V6+W6+X6+Y6+Z6))</f>
        <v/>
      </c>
      <c r="BN24" s="160">
        <f>IF((AA6+AB6+AC6+AD6+AE6+AF6+AG6+AH6+AI6+AJ6+AK6+AL6)=0,0,(AA23+AB23+AC23+AD23+AE23+AF23+AG23+AH23+AI23+AJ23+AK23+AL23)/(AA6+AB6+AC6+AD6+AE6+AF6+AG6+AH6+AI6+AJ6+AK6+AL6))</f>
        <v/>
      </c>
      <c r="BO24" s="160">
        <f>IF((AM6+AN6+AO6+AP6+AQ6+AR6+AS6+AT6+AU6+AV6+AW6+AX6)=0,0,(AM23+AN23+AO23+AP23+AQ23+AR23+AS23+AT23+AU23+AV23+AW23+AX23)/(AM6+AN6+AO6+AP6+AQ6+AR6+AS6+AT6+AU6+AV6+AW6+AX6))</f>
        <v/>
      </c>
      <c r="BP24" s="160">
        <f>IF((AY6+AZ6+BA6+BB6+BC6+BD6+BE6+BF6+BG6+BH6+BI6+BJ6)=0,0,(AY23+AZ23+BA23+BB23+BC23+BD23+BE23+BF23+BG23+BH23+BI23+BJ23)/(AY6+AZ6+BA6+BB6+BC6+BD6+BE6+BF6+BG6+BH6+BI6+BJ6))</f>
        <v/>
      </c>
      <c r="BQ24" s="155" t="n"/>
    </row>
    <row r="25" ht="15" customHeight="1" s="104">
      <c r="A25" s="107" t="n"/>
      <c r="B25" s="155" t="n"/>
      <c r="C25" s="161" t="n"/>
      <c r="D25" s="161" t="n"/>
      <c r="E25" s="161" t="n"/>
      <c r="F25" s="161" t="n"/>
      <c r="G25" s="161" t="n"/>
      <c r="H25" s="161" t="n"/>
      <c r="I25" s="161" t="n"/>
      <c r="J25" s="161" t="n"/>
      <c r="K25" s="161" t="n"/>
      <c r="L25" s="161" t="n"/>
      <c r="M25" s="161" t="n"/>
      <c r="N25" s="161" t="n"/>
      <c r="O25" s="161" t="n"/>
      <c r="P25" s="161" t="n"/>
      <c r="Q25" s="161" t="n"/>
      <c r="R25" s="161" t="n"/>
      <c r="S25" s="161" t="n"/>
      <c r="T25" s="161" t="n"/>
      <c r="U25" s="161" t="n"/>
      <c r="V25" s="161" t="n"/>
      <c r="W25" s="161" t="n"/>
      <c r="X25" s="161" t="n"/>
      <c r="Y25" s="161" t="n"/>
      <c r="Z25" s="161" t="n"/>
      <c r="AA25" s="161" t="n"/>
      <c r="AB25" s="161" t="n"/>
      <c r="AC25" s="161" t="n"/>
      <c r="AD25" s="161" t="n"/>
      <c r="AE25" s="161" t="n"/>
      <c r="AF25" s="161" t="n"/>
      <c r="AG25" s="161" t="n"/>
      <c r="AH25" s="161" t="n"/>
      <c r="AI25" s="161" t="n"/>
      <c r="AJ25" s="161" t="n"/>
      <c r="AK25" s="161" t="n"/>
      <c r="AL25" s="161" t="n"/>
      <c r="AM25" s="161" t="n"/>
      <c r="AN25" s="161" t="n"/>
      <c r="AO25" s="161" t="n"/>
      <c r="AP25" s="161" t="n"/>
      <c r="AQ25" s="161" t="n"/>
      <c r="AR25" s="161" t="n"/>
      <c r="AS25" s="161" t="n"/>
      <c r="AT25" s="161" t="n"/>
      <c r="AU25" s="161" t="n"/>
      <c r="AV25" s="161" t="n"/>
      <c r="AW25" s="161" t="n"/>
      <c r="AX25" s="161" t="n"/>
      <c r="AY25" s="161" t="n"/>
      <c r="AZ25" s="161" t="n"/>
      <c r="BA25" s="161" t="n"/>
      <c r="BB25" s="161" t="n"/>
      <c r="BC25" s="161" t="n"/>
      <c r="BD25" s="161" t="n"/>
      <c r="BE25" s="161" t="n"/>
      <c r="BF25" s="161" t="n"/>
      <c r="BG25" s="161" t="n"/>
      <c r="BH25" s="161" t="n"/>
      <c r="BI25" s="161" t="n"/>
      <c r="BJ25" s="161" t="n"/>
      <c r="BK25" s="155" t="n"/>
      <c r="BL25" s="161" t="n"/>
      <c r="BM25" s="161" t="n"/>
      <c r="BN25" s="161" t="n"/>
      <c r="BO25" s="161" t="n"/>
      <c r="BP25" s="161" t="n"/>
      <c r="BQ25" s="155" t="n"/>
    </row>
    <row r="26" ht="15" customHeight="1" s="104">
      <c r="A26" s="153" t="inlineStr">
        <is>
          <t>DEPRECIATION &amp; AMORTIZATION (from Amortization Table)</t>
        </is>
      </c>
      <c r="B26" s="154" t="n"/>
      <c r="C26" s="154" t="n"/>
      <c r="D26" s="154" t="n"/>
      <c r="E26" s="154" t="n"/>
      <c r="F26" s="154" t="n"/>
      <c r="G26" s="154" t="n"/>
      <c r="H26" s="154" t="n"/>
      <c r="I26" s="154" t="n"/>
      <c r="J26" s="154" t="n"/>
      <c r="K26" s="154" t="n"/>
      <c r="L26" s="154" t="n"/>
      <c r="M26" s="154" t="n"/>
      <c r="N26" s="154" t="n"/>
      <c r="O26" s="154" t="n"/>
      <c r="P26" s="154" t="n"/>
      <c r="Q26" s="154" t="n"/>
      <c r="R26" s="154" t="n"/>
      <c r="S26" s="154" t="n"/>
      <c r="T26" s="154" t="n"/>
      <c r="U26" s="154" t="n"/>
      <c r="V26" s="154" t="n"/>
      <c r="W26" s="154" t="n"/>
      <c r="X26" s="154" t="n"/>
      <c r="Y26" s="154" t="n"/>
      <c r="Z26" s="154" t="n"/>
      <c r="AA26" s="154" t="n"/>
      <c r="AB26" s="154" t="n"/>
      <c r="AC26" s="154" t="n"/>
      <c r="AD26" s="154" t="n"/>
      <c r="AE26" s="154" t="n"/>
      <c r="AF26" s="154" t="n"/>
      <c r="AG26" s="154" t="n"/>
      <c r="AH26" s="154" t="n"/>
      <c r="AI26" s="154" t="n"/>
      <c r="AJ26" s="154" t="n"/>
      <c r="AK26" s="154" t="n"/>
      <c r="AL26" s="154" t="n"/>
      <c r="AM26" s="154" t="n"/>
      <c r="AN26" s="154" t="n"/>
      <c r="AO26" s="154" t="n"/>
      <c r="AP26" s="154" t="n"/>
      <c r="AQ26" s="154" t="n"/>
      <c r="AR26" s="154" t="n"/>
      <c r="AS26" s="154" t="n"/>
      <c r="AT26" s="154" t="n"/>
      <c r="AU26" s="154" t="n"/>
      <c r="AV26" s="154" t="n"/>
      <c r="AW26" s="154" t="n"/>
      <c r="AX26" s="154" t="n"/>
      <c r="AY26" s="154" t="n"/>
      <c r="AZ26" s="154" t="n"/>
      <c r="BA26" s="154" t="n"/>
      <c r="BB26" s="154" t="n"/>
      <c r="BC26" s="154" t="n"/>
      <c r="BD26" s="154" t="n"/>
      <c r="BE26" s="154" t="n"/>
      <c r="BF26" s="154" t="n"/>
      <c r="BG26" s="154" t="n"/>
      <c r="BH26" s="154" t="n"/>
      <c r="BI26" s="154" t="n"/>
      <c r="BJ26" s="154" t="n"/>
      <c r="BK26" s="154" t="n"/>
      <c r="BL26" s="154" t="n"/>
      <c r="BM26" s="154" t="n"/>
      <c r="BN26" s="154" t="n"/>
      <c r="BO26" s="154" t="n"/>
      <c r="BP26" s="154" t="n"/>
      <c r="BQ26" s="154" t="n"/>
    </row>
    <row r="27" ht="15" customHeight="1" s="104">
      <c r="A27" s="158" t="inlineStr">
        <is>
          <t xml:space="preserve">        PP&amp;E D&amp;A</t>
        </is>
      </c>
      <c r="B27" s="155" t="n"/>
      <c r="C27" s="164">
        <f>'Amortization Table'!C50</f>
        <v/>
      </c>
      <c r="D27" s="164">
        <f>'Amortization Table'!D50</f>
        <v/>
      </c>
      <c r="E27" s="164">
        <f>'Amortization Table'!E50</f>
        <v/>
      </c>
      <c r="F27" s="164">
        <f>'Amortization Table'!F50</f>
        <v/>
      </c>
      <c r="G27" s="164">
        <f>'Amortization Table'!G50</f>
        <v/>
      </c>
      <c r="H27" s="164">
        <f>'Amortization Table'!H50</f>
        <v/>
      </c>
      <c r="I27" s="164">
        <f>'Amortization Table'!I50</f>
        <v/>
      </c>
      <c r="J27" s="164">
        <f>'Amortization Table'!J50</f>
        <v/>
      </c>
      <c r="K27" s="164">
        <f>'Amortization Table'!K50</f>
        <v/>
      </c>
      <c r="L27" s="164">
        <f>'Amortization Table'!L50</f>
        <v/>
      </c>
      <c r="M27" s="164">
        <f>'Amortization Table'!M50</f>
        <v/>
      </c>
      <c r="N27" s="164">
        <f>'Amortization Table'!N50</f>
        <v/>
      </c>
      <c r="O27" s="164">
        <f>'Amortization Table'!O50</f>
        <v/>
      </c>
      <c r="P27" s="164">
        <f>'Amortization Table'!P50</f>
        <v/>
      </c>
      <c r="Q27" s="164">
        <f>'Amortization Table'!Q50</f>
        <v/>
      </c>
      <c r="R27" s="164">
        <f>'Amortization Table'!R50</f>
        <v/>
      </c>
      <c r="S27" s="164">
        <f>'Amortization Table'!S50</f>
        <v/>
      </c>
      <c r="T27" s="164">
        <f>'Amortization Table'!T50</f>
        <v/>
      </c>
      <c r="U27" s="164">
        <f>'Amortization Table'!U50</f>
        <v/>
      </c>
      <c r="V27" s="164">
        <f>'Amortization Table'!V50</f>
        <v/>
      </c>
      <c r="W27" s="164">
        <f>'Amortization Table'!W50</f>
        <v/>
      </c>
      <c r="X27" s="164">
        <f>'Amortization Table'!X50</f>
        <v/>
      </c>
      <c r="Y27" s="164">
        <f>'Amortization Table'!Y50</f>
        <v/>
      </c>
      <c r="Z27" s="164">
        <f>'Amortization Table'!Z50</f>
        <v/>
      </c>
      <c r="AA27" s="164">
        <f>'Amortization Table'!AA50</f>
        <v/>
      </c>
      <c r="AB27" s="164">
        <f>'Amortization Table'!AB50</f>
        <v/>
      </c>
      <c r="AC27" s="164">
        <f>'Amortization Table'!AC50</f>
        <v/>
      </c>
      <c r="AD27" s="164">
        <f>'Amortization Table'!AD50</f>
        <v/>
      </c>
      <c r="AE27" s="164">
        <f>'Amortization Table'!AE50</f>
        <v/>
      </c>
      <c r="AF27" s="164">
        <f>'Amortization Table'!AF50</f>
        <v/>
      </c>
      <c r="AG27" s="164">
        <f>'Amortization Table'!AG50</f>
        <v/>
      </c>
      <c r="AH27" s="164">
        <f>'Amortization Table'!AH50</f>
        <v/>
      </c>
      <c r="AI27" s="164">
        <f>'Amortization Table'!AI50</f>
        <v/>
      </c>
      <c r="AJ27" s="164">
        <f>'Amortization Table'!AJ50</f>
        <v/>
      </c>
      <c r="AK27" s="164">
        <f>'Amortization Table'!AK50</f>
        <v/>
      </c>
      <c r="AL27" s="164">
        <f>'Amortization Table'!AL50</f>
        <v/>
      </c>
      <c r="AM27" s="164">
        <f>'Amortization Table'!AM50</f>
        <v/>
      </c>
      <c r="AN27" s="164">
        <f>'Amortization Table'!AN50</f>
        <v/>
      </c>
      <c r="AO27" s="164">
        <f>'Amortization Table'!AO50</f>
        <v/>
      </c>
      <c r="AP27" s="164">
        <f>'Amortization Table'!AP50</f>
        <v/>
      </c>
      <c r="AQ27" s="164">
        <f>'Amortization Table'!AQ50</f>
        <v/>
      </c>
      <c r="AR27" s="164">
        <f>'Amortization Table'!AR50</f>
        <v/>
      </c>
      <c r="AS27" s="164">
        <f>'Amortization Table'!AS50</f>
        <v/>
      </c>
      <c r="AT27" s="164">
        <f>'Amortization Table'!AT50</f>
        <v/>
      </c>
      <c r="AU27" s="164">
        <f>'Amortization Table'!AU50</f>
        <v/>
      </c>
      <c r="AV27" s="164">
        <f>'Amortization Table'!AV50</f>
        <v/>
      </c>
      <c r="AW27" s="164">
        <f>'Amortization Table'!AW50</f>
        <v/>
      </c>
      <c r="AX27" s="164">
        <f>'Amortization Table'!AX50</f>
        <v/>
      </c>
      <c r="AY27" s="164">
        <f>'Amortization Table'!AY50</f>
        <v/>
      </c>
      <c r="AZ27" s="164">
        <f>'Amortization Table'!AZ50</f>
        <v/>
      </c>
      <c r="BA27" s="164">
        <f>'Amortization Table'!BA50</f>
        <v/>
      </c>
      <c r="BB27" s="164">
        <f>'Amortization Table'!BB50</f>
        <v/>
      </c>
      <c r="BC27" s="164">
        <f>'Amortization Table'!BC50</f>
        <v/>
      </c>
      <c r="BD27" s="164">
        <f>'Amortization Table'!BD50</f>
        <v/>
      </c>
      <c r="BE27" s="164">
        <f>'Amortization Table'!BE50</f>
        <v/>
      </c>
      <c r="BF27" s="164">
        <f>'Amortization Table'!BF50</f>
        <v/>
      </c>
      <c r="BG27" s="164">
        <f>'Amortization Table'!BG50</f>
        <v/>
      </c>
      <c r="BH27" s="164">
        <f>'Amortization Table'!BH50</f>
        <v/>
      </c>
      <c r="BI27" s="164">
        <f>'Amortization Table'!BI50</f>
        <v/>
      </c>
      <c r="BJ27" s="164">
        <f>'Amortization Table'!BJ50</f>
        <v/>
      </c>
      <c r="BK27" s="155" t="n"/>
      <c r="BL27" s="165">
        <f>C27+D27+E27+F27+G27+H27+I27+J27+K27+L27+M27+N27</f>
        <v/>
      </c>
      <c r="BM27" s="165">
        <f>O27+P27+Q27+R27+S27+T27+U27+V27+W27+X27+Y27+Z27</f>
        <v/>
      </c>
      <c r="BN27" s="165">
        <f>AA27+AB27+AC27+AD27+AE27+AF27+AG27+AH27+AI27+AJ27+AK27+AL27</f>
        <v/>
      </c>
      <c r="BO27" s="165">
        <f>AM27+AN27+AO27+AP27+AQ27+AR27+AS27+AT27+AU27+AV27+AW27+AX27</f>
        <v/>
      </c>
      <c r="BP27" s="165">
        <f>AY27+AZ27+BA27+BB27+BC27+BD27+BE27+BF27+BG27+BH27+BI27+BJ27</f>
        <v/>
      </c>
      <c r="BQ27" s="155" t="n"/>
    </row>
    <row r="28" ht="15" customHeight="1" s="104">
      <c r="A28" s="158" t="inlineStr">
        <is>
          <t xml:space="preserve">        Goodwill Amortization</t>
        </is>
      </c>
      <c r="B28" s="155" t="n"/>
      <c r="C28" s="164">
        <f>'Amortization Table'!C51</f>
        <v/>
      </c>
      <c r="D28" s="164">
        <f>'Amortization Table'!D51</f>
        <v/>
      </c>
      <c r="E28" s="164">
        <f>'Amortization Table'!E51</f>
        <v/>
      </c>
      <c r="F28" s="164">
        <f>'Amortization Table'!F51</f>
        <v/>
      </c>
      <c r="G28" s="164">
        <f>'Amortization Table'!G51</f>
        <v/>
      </c>
      <c r="H28" s="164">
        <f>'Amortization Table'!H51</f>
        <v/>
      </c>
      <c r="I28" s="164">
        <f>'Amortization Table'!I51</f>
        <v/>
      </c>
      <c r="J28" s="164">
        <f>'Amortization Table'!J51</f>
        <v/>
      </c>
      <c r="K28" s="164">
        <f>'Amortization Table'!K51</f>
        <v/>
      </c>
      <c r="L28" s="164">
        <f>'Amortization Table'!L51</f>
        <v/>
      </c>
      <c r="M28" s="164">
        <f>'Amortization Table'!M51</f>
        <v/>
      </c>
      <c r="N28" s="164">
        <f>'Amortization Table'!N51</f>
        <v/>
      </c>
      <c r="O28" s="164">
        <f>'Amortization Table'!O51</f>
        <v/>
      </c>
      <c r="P28" s="164">
        <f>'Amortization Table'!P51</f>
        <v/>
      </c>
      <c r="Q28" s="164">
        <f>'Amortization Table'!Q51</f>
        <v/>
      </c>
      <c r="R28" s="164">
        <f>'Amortization Table'!R51</f>
        <v/>
      </c>
      <c r="S28" s="164">
        <f>'Amortization Table'!S51</f>
        <v/>
      </c>
      <c r="T28" s="164">
        <f>'Amortization Table'!T51</f>
        <v/>
      </c>
      <c r="U28" s="164">
        <f>'Amortization Table'!U51</f>
        <v/>
      </c>
      <c r="V28" s="164">
        <f>'Amortization Table'!V51</f>
        <v/>
      </c>
      <c r="W28" s="164">
        <f>'Amortization Table'!W51</f>
        <v/>
      </c>
      <c r="X28" s="164">
        <f>'Amortization Table'!X51</f>
        <v/>
      </c>
      <c r="Y28" s="164">
        <f>'Amortization Table'!Y51</f>
        <v/>
      </c>
      <c r="Z28" s="164">
        <f>'Amortization Table'!Z51</f>
        <v/>
      </c>
      <c r="AA28" s="164">
        <f>'Amortization Table'!AA51</f>
        <v/>
      </c>
      <c r="AB28" s="164">
        <f>'Amortization Table'!AB51</f>
        <v/>
      </c>
      <c r="AC28" s="164">
        <f>'Amortization Table'!AC51</f>
        <v/>
      </c>
      <c r="AD28" s="164">
        <f>'Amortization Table'!AD51</f>
        <v/>
      </c>
      <c r="AE28" s="164">
        <f>'Amortization Table'!AE51</f>
        <v/>
      </c>
      <c r="AF28" s="164">
        <f>'Amortization Table'!AF51</f>
        <v/>
      </c>
      <c r="AG28" s="164">
        <f>'Amortization Table'!AG51</f>
        <v/>
      </c>
      <c r="AH28" s="164">
        <f>'Amortization Table'!AH51</f>
        <v/>
      </c>
      <c r="AI28" s="164">
        <f>'Amortization Table'!AI51</f>
        <v/>
      </c>
      <c r="AJ28" s="164">
        <f>'Amortization Table'!AJ51</f>
        <v/>
      </c>
      <c r="AK28" s="164">
        <f>'Amortization Table'!AK51</f>
        <v/>
      </c>
      <c r="AL28" s="164">
        <f>'Amortization Table'!AL51</f>
        <v/>
      </c>
      <c r="AM28" s="164">
        <f>'Amortization Table'!AM51</f>
        <v/>
      </c>
      <c r="AN28" s="164">
        <f>'Amortization Table'!AN51</f>
        <v/>
      </c>
      <c r="AO28" s="164">
        <f>'Amortization Table'!AO51</f>
        <v/>
      </c>
      <c r="AP28" s="164">
        <f>'Amortization Table'!AP51</f>
        <v/>
      </c>
      <c r="AQ28" s="164">
        <f>'Amortization Table'!AQ51</f>
        <v/>
      </c>
      <c r="AR28" s="164">
        <f>'Amortization Table'!AR51</f>
        <v/>
      </c>
      <c r="AS28" s="164">
        <f>'Amortization Table'!AS51</f>
        <v/>
      </c>
      <c r="AT28" s="164">
        <f>'Amortization Table'!AT51</f>
        <v/>
      </c>
      <c r="AU28" s="164">
        <f>'Amortization Table'!AU51</f>
        <v/>
      </c>
      <c r="AV28" s="164">
        <f>'Amortization Table'!AV51</f>
        <v/>
      </c>
      <c r="AW28" s="164">
        <f>'Amortization Table'!AW51</f>
        <v/>
      </c>
      <c r="AX28" s="164">
        <f>'Amortization Table'!AX51</f>
        <v/>
      </c>
      <c r="AY28" s="164">
        <f>'Amortization Table'!AY51</f>
        <v/>
      </c>
      <c r="AZ28" s="164">
        <f>'Amortization Table'!AZ51</f>
        <v/>
      </c>
      <c r="BA28" s="164">
        <f>'Amortization Table'!BA51</f>
        <v/>
      </c>
      <c r="BB28" s="164">
        <f>'Amortization Table'!BB51</f>
        <v/>
      </c>
      <c r="BC28" s="164">
        <f>'Amortization Table'!BC51</f>
        <v/>
      </c>
      <c r="BD28" s="164">
        <f>'Amortization Table'!BD51</f>
        <v/>
      </c>
      <c r="BE28" s="164">
        <f>'Amortization Table'!BE51</f>
        <v/>
      </c>
      <c r="BF28" s="164">
        <f>'Amortization Table'!BF51</f>
        <v/>
      </c>
      <c r="BG28" s="164">
        <f>'Amortization Table'!BG51</f>
        <v/>
      </c>
      <c r="BH28" s="164">
        <f>'Amortization Table'!BH51</f>
        <v/>
      </c>
      <c r="BI28" s="164">
        <f>'Amortization Table'!BI51</f>
        <v/>
      </c>
      <c r="BJ28" s="164">
        <f>'Amortization Table'!BJ51</f>
        <v/>
      </c>
      <c r="BK28" s="155" t="n"/>
      <c r="BL28" s="165">
        <f>C28+D28+E28+F28+G28+H28+I28+J28+K28+L28+M28+N28</f>
        <v/>
      </c>
      <c r="BM28" s="165">
        <f>O28+P28+Q28+R28+S28+T28+U28+V28+W28+X28+Y28+Z28</f>
        <v/>
      </c>
      <c r="BN28" s="165">
        <f>AA28+AB28+AC28+AD28+AE28+AF28+AG28+AH28+AI28+AJ28+AK28+AL28</f>
        <v/>
      </c>
      <c r="BO28" s="165">
        <f>AM28+AN28+AO28+AP28+AQ28+AR28+AS28+AT28+AU28+AV28+AW28+AX28</f>
        <v/>
      </c>
      <c r="BP28" s="165">
        <f>AY28+AZ28+BA28+BB28+BC28+BD28+BE28+BF28+BG28+BH28+BI28+BJ28</f>
        <v/>
      </c>
      <c r="BQ28" s="155" t="n"/>
    </row>
    <row r="29" ht="15" customHeight="1" s="104">
      <c r="A29" s="116" t="inlineStr">
        <is>
          <t>Total D&amp;A</t>
        </is>
      </c>
      <c r="B29" s="155" t="n"/>
      <c r="C29" s="151">
        <f>C27+C28</f>
        <v/>
      </c>
      <c r="D29" s="151">
        <f>D27+D28</f>
        <v/>
      </c>
      <c r="E29" s="151">
        <f>E27+E28</f>
        <v/>
      </c>
      <c r="F29" s="151">
        <f>F27+F28</f>
        <v/>
      </c>
      <c r="G29" s="151">
        <f>G27+G28</f>
        <v/>
      </c>
      <c r="H29" s="151">
        <f>H27+H28</f>
        <v/>
      </c>
      <c r="I29" s="151">
        <f>I27+I28</f>
        <v/>
      </c>
      <c r="J29" s="151">
        <f>J27+J28</f>
        <v/>
      </c>
      <c r="K29" s="151">
        <f>K27+K28</f>
        <v/>
      </c>
      <c r="L29" s="151">
        <f>L27+L28</f>
        <v/>
      </c>
      <c r="M29" s="151">
        <f>M27+M28</f>
        <v/>
      </c>
      <c r="N29" s="151">
        <f>N27+N28</f>
        <v/>
      </c>
      <c r="O29" s="151">
        <f>O27+O28</f>
        <v/>
      </c>
      <c r="P29" s="151">
        <f>P27+P28</f>
        <v/>
      </c>
      <c r="Q29" s="151">
        <f>Q27+Q28</f>
        <v/>
      </c>
      <c r="R29" s="151">
        <f>R27+R28</f>
        <v/>
      </c>
      <c r="S29" s="151">
        <f>S27+S28</f>
        <v/>
      </c>
      <c r="T29" s="151">
        <f>T27+T28</f>
        <v/>
      </c>
      <c r="U29" s="151">
        <f>U27+U28</f>
        <v/>
      </c>
      <c r="V29" s="151">
        <f>V27+V28</f>
        <v/>
      </c>
      <c r="W29" s="151">
        <f>W27+W28</f>
        <v/>
      </c>
      <c r="X29" s="151">
        <f>X27+X28</f>
        <v/>
      </c>
      <c r="Y29" s="151">
        <f>Y27+Y28</f>
        <v/>
      </c>
      <c r="Z29" s="151">
        <f>Z27+Z28</f>
        <v/>
      </c>
      <c r="AA29" s="151">
        <f>AA27+AA28</f>
        <v/>
      </c>
      <c r="AB29" s="151">
        <f>AB27+AB28</f>
        <v/>
      </c>
      <c r="AC29" s="151">
        <f>AC27+AC28</f>
        <v/>
      </c>
      <c r="AD29" s="151">
        <f>AD27+AD28</f>
        <v/>
      </c>
      <c r="AE29" s="151">
        <f>AE27+AE28</f>
        <v/>
      </c>
      <c r="AF29" s="151">
        <f>AF27+AF28</f>
        <v/>
      </c>
      <c r="AG29" s="151">
        <f>AG27+AG28</f>
        <v/>
      </c>
      <c r="AH29" s="151">
        <f>AH27+AH28</f>
        <v/>
      </c>
      <c r="AI29" s="151">
        <f>AI27+AI28</f>
        <v/>
      </c>
      <c r="AJ29" s="151">
        <f>AJ27+AJ28</f>
        <v/>
      </c>
      <c r="AK29" s="151">
        <f>AK27+AK28</f>
        <v/>
      </c>
      <c r="AL29" s="151">
        <f>AL27+AL28</f>
        <v/>
      </c>
      <c r="AM29" s="151">
        <f>AM27+AM28</f>
        <v/>
      </c>
      <c r="AN29" s="151">
        <f>AN27+AN28</f>
        <v/>
      </c>
      <c r="AO29" s="151">
        <f>AO27+AO28</f>
        <v/>
      </c>
      <c r="AP29" s="151">
        <f>AP27+AP28</f>
        <v/>
      </c>
      <c r="AQ29" s="151">
        <f>AQ27+AQ28</f>
        <v/>
      </c>
      <c r="AR29" s="151">
        <f>AR27+AR28</f>
        <v/>
      </c>
      <c r="AS29" s="151">
        <f>AS27+AS28</f>
        <v/>
      </c>
      <c r="AT29" s="151">
        <f>AT27+AT28</f>
        <v/>
      </c>
      <c r="AU29" s="151">
        <f>AU27+AU28</f>
        <v/>
      </c>
      <c r="AV29" s="151">
        <f>AV27+AV28</f>
        <v/>
      </c>
      <c r="AW29" s="151">
        <f>AW27+AW28</f>
        <v/>
      </c>
      <c r="AX29" s="151">
        <f>AX27+AX28</f>
        <v/>
      </c>
      <c r="AY29" s="151">
        <f>AY27+AY28</f>
        <v/>
      </c>
      <c r="AZ29" s="151">
        <f>AZ27+AZ28</f>
        <v/>
      </c>
      <c r="BA29" s="151">
        <f>BA27+BA28</f>
        <v/>
      </c>
      <c r="BB29" s="151">
        <f>BB27+BB28</f>
        <v/>
      </c>
      <c r="BC29" s="151">
        <f>BC27+BC28</f>
        <v/>
      </c>
      <c r="BD29" s="151">
        <f>BD27+BD28</f>
        <v/>
      </c>
      <c r="BE29" s="151">
        <f>BE27+BE28</f>
        <v/>
      </c>
      <c r="BF29" s="151">
        <f>BF27+BF28</f>
        <v/>
      </c>
      <c r="BG29" s="151">
        <f>BG27+BG28</f>
        <v/>
      </c>
      <c r="BH29" s="151">
        <f>BH27+BH28</f>
        <v/>
      </c>
      <c r="BI29" s="151">
        <f>BI27+BI28</f>
        <v/>
      </c>
      <c r="BJ29" s="151">
        <f>BJ27+BJ28</f>
        <v/>
      </c>
      <c r="BK29" s="155" t="n"/>
      <c r="BL29" s="152">
        <f>C29+D29+E29+F29+G29+H29+I29+J29+K29+L29+M29+N29</f>
        <v/>
      </c>
      <c r="BM29" s="152">
        <f>O29+P29+Q29+R29+S29+T29+U29+V29+W29+X29+Y29+Z29</f>
        <v/>
      </c>
      <c r="BN29" s="152">
        <f>AA29+AB29+AC29+AD29+AE29+AF29+AG29+AH29+AI29+AJ29+AK29+AL29</f>
        <v/>
      </c>
      <c r="BO29" s="152">
        <f>AM29+AN29+AO29+AP29+AQ29+AR29+AS29+AT29+AU29+AV29+AW29+AX29</f>
        <v/>
      </c>
      <c r="BP29" s="152">
        <f>AY29+AZ29+BA29+BB29+BC29+BD29+BE29+BF29+BG29+BH29+BI29+BJ29</f>
        <v/>
      </c>
      <c r="BQ29" s="155" t="n"/>
    </row>
    <row r="30" ht="15" customHeight="1" s="104">
      <c r="A30" s="116" t="inlineStr">
        <is>
          <t>EBIT</t>
        </is>
      </c>
      <c r="B30" s="155" t="n"/>
      <c r="C30" s="151">
        <f>C23-C29</f>
        <v/>
      </c>
      <c r="D30" s="151">
        <f>D23-D29</f>
        <v/>
      </c>
      <c r="E30" s="151">
        <f>E23-E29</f>
        <v/>
      </c>
      <c r="F30" s="151">
        <f>F23-F29</f>
        <v/>
      </c>
      <c r="G30" s="151">
        <f>G23-G29</f>
        <v/>
      </c>
      <c r="H30" s="151">
        <f>H23-H29</f>
        <v/>
      </c>
      <c r="I30" s="151">
        <f>I23-I29</f>
        <v/>
      </c>
      <c r="J30" s="151">
        <f>J23-J29</f>
        <v/>
      </c>
      <c r="K30" s="151">
        <f>K23-K29</f>
        <v/>
      </c>
      <c r="L30" s="151">
        <f>L23-L29</f>
        <v/>
      </c>
      <c r="M30" s="151">
        <f>M23-M29</f>
        <v/>
      </c>
      <c r="N30" s="151">
        <f>N23-N29</f>
        <v/>
      </c>
      <c r="O30" s="151">
        <f>O23-O29</f>
        <v/>
      </c>
      <c r="P30" s="151">
        <f>P23-P29</f>
        <v/>
      </c>
      <c r="Q30" s="151">
        <f>Q23-Q29</f>
        <v/>
      </c>
      <c r="R30" s="151">
        <f>R23-R29</f>
        <v/>
      </c>
      <c r="S30" s="151">
        <f>S23-S29</f>
        <v/>
      </c>
      <c r="T30" s="151">
        <f>T23-T29</f>
        <v/>
      </c>
      <c r="U30" s="151">
        <f>U23-U29</f>
        <v/>
      </c>
      <c r="V30" s="151">
        <f>V23-V29</f>
        <v/>
      </c>
      <c r="W30" s="151">
        <f>W23-W29</f>
        <v/>
      </c>
      <c r="X30" s="151">
        <f>X23-X29</f>
        <v/>
      </c>
      <c r="Y30" s="151">
        <f>Y23-Y29</f>
        <v/>
      </c>
      <c r="Z30" s="151">
        <f>Z23-Z29</f>
        <v/>
      </c>
      <c r="AA30" s="151">
        <f>AA23-AA29</f>
        <v/>
      </c>
      <c r="AB30" s="151">
        <f>AB23-AB29</f>
        <v/>
      </c>
      <c r="AC30" s="151">
        <f>AC23-AC29</f>
        <v/>
      </c>
      <c r="AD30" s="151">
        <f>AD23-AD29</f>
        <v/>
      </c>
      <c r="AE30" s="151">
        <f>AE23-AE29</f>
        <v/>
      </c>
      <c r="AF30" s="151">
        <f>AF23-AF29</f>
        <v/>
      </c>
      <c r="AG30" s="151">
        <f>AG23-AG29</f>
        <v/>
      </c>
      <c r="AH30" s="151">
        <f>AH23-AH29</f>
        <v/>
      </c>
      <c r="AI30" s="151">
        <f>AI23-AI29</f>
        <v/>
      </c>
      <c r="AJ30" s="151">
        <f>AJ23-AJ29</f>
        <v/>
      </c>
      <c r="AK30" s="151">
        <f>AK23-AK29</f>
        <v/>
      </c>
      <c r="AL30" s="151">
        <f>AL23-AL29</f>
        <v/>
      </c>
      <c r="AM30" s="151">
        <f>AM23-AM29</f>
        <v/>
      </c>
      <c r="AN30" s="151">
        <f>AN23-AN29</f>
        <v/>
      </c>
      <c r="AO30" s="151">
        <f>AO23-AO29</f>
        <v/>
      </c>
      <c r="AP30" s="151">
        <f>AP23-AP29</f>
        <v/>
      </c>
      <c r="AQ30" s="151">
        <f>AQ23-AQ29</f>
        <v/>
      </c>
      <c r="AR30" s="151">
        <f>AR23-AR29</f>
        <v/>
      </c>
      <c r="AS30" s="151">
        <f>AS23-AS29</f>
        <v/>
      </c>
      <c r="AT30" s="151">
        <f>AT23-AT29</f>
        <v/>
      </c>
      <c r="AU30" s="151">
        <f>AU23-AU29</f>
        <v/>
      </c>
      <c r="AV30" s="151">
        <f>AV23-AV29</f>
        <v/>
      </c>
      <c r="AW30" s="151">
        <f>AW23-AW29</f>
        <v/>
      </c>
      <c r="AX30" s="151">
        <f>AX23-AX29</f>
        <v/>
      </c>
      <c r="AY30" s="151">
        <f>AY23-AY29</f>
        <v/>
      </c>
      <c r="AZ30" s="151">
        <f>AZ23-AZ29</f>
        <v/>
      </c>
      <c r="BA30" s="151">
        <f>BA23-BA29</f>
        <v/>
      </c>
      <c r="BB30" s="151">
        <f>BB23-BB29</f>
        <v/>
      </c>
      <c r="BC30" s="151">
        <f>BC23-BC29</f>
        <v/>
      </c>
      <c r="BD30" s="151">
        <f>BD23-BD29</f>
        <v/>
      </c>
      <c r="BE30" s="151">
        <f>BE23-BE29</f>
        <v/>
      </c>
      <c r="BF30" s="151">
        <f>BF23-BF29</f>
        <v/>
      </c>
      <c r="BG30" s="151">
        <f>BG23-BG29</f>
        <v/>
      </c>
      <c r="BH30" s="151">
        <f>BH23-BH29</f>
        <v/>
      </c>
      <c r="BI30" s="151">
        <f>BI23-BI29</f>
        <v/>
      </c>
      <c r="BJ30" s="151">
        <f>BJ23-BJ29</f>
        <v/>
      </c>
      <c r="BK30" s="155" t="n"/>
      <c r="BL30" s="152">
        <f>C30+D30+E30+F30+G30+H30+I30+J30+K30+L30+M30+N30</f>
        <v/>
      </c>
      <c r="BM30" s="152">
        <f>O30+P30+Q30+R30+S30+T30+U30+V30+W30+X30+Y30+Z30</f>
        <v/>
      </c>
      <c r="BN30" s="152">
        <f>AA30+AB30+AC30+AD30+AE30+AF30+AG30+AH30+AI30+AJ30+AK30+AL30</f>
        <v/>
      </c>
      <c r="BO30" s="152">
        <f>AM30+AN30+AO30+AP30+AQ30+AR30+AS30+AT30+AU30+AV30+AW30+AX30</f>
        <v/>
      </c>
      <c r="BP30" s="152">
        <f>AY30+AZ30+BA30+BB30+BC30+BD30+BE30+BF30+BG30+BH30+BI30+BJ30</f>
        <v/>
      </c>
      <c r="BQ30" s="155" t="n"/>
    </row>
    <row r="31" ht="15" customHeight="1" s="104">
      <c r="A31" s="155" t="n"/>
      <c r="B31" s="155" t="n"/>
      <c r="C31" s="155" t="n"/>
      <c r="D31" s="155" t="n"/>
      <c r="E31" s="155" t="n"/>
      <c r="F31" s="155" t="n"/>
      <c r="G31" s="155" t="n"/>
      <c r="H31" s="155" t="n"/>
      <c r="I31" s="155" t="n"/>
      <c r="J31" s="155" t="n"/>
      <c r="K31" s="155" t="n"/>
      <c r="L31" s="155" t="n"/>
      <c r="M31" s="155" t="n"/>
      <c r="N31" s="155" t="n"/>
      <c r="O31" s="155" t="n"/>
      <c r="P31" s="155" t="n"/>
      <c r="Q31" s="155" t="n"/>
      <c r="R31" s="155" t="n"/>
      <c r="S31" s="155" t="n"/>
      <c r="T31" s="155" t="n"/>
      <c r="U31" s="155" t="n"/>
      <c r="V31" s="155" t="n"/>
      <c r="W31" s="155" t="n"/>
      <c r="X31" s="155" t="n"/>
      <c r="Y31" s="155" t="n"/>
      <c r="Z31" s="155" t="n"/>
      <c r="AA31" s="155" t="n"/>
      <c r="AB31" s="155" t="n"/>
      <c r="AC31" s="155" t="n"/>
      <c r="AD31" s="155" t="n"/>
      <c r="AE31" s="155" t="n"/>
      <c r="AF31" s="155" t="n"/>
      <c r="AG31" s="155" t="n"/>
      <c r="AH31" s="155" t="n"/>
      <c r="AI31" s="155" t="n"/>
      <c r="AJ31" s="155" t="n"/>
      <c r="AK31" s="155" t="n"/>
      <c r="AL31" s="155" t="n"/>
      <c r="AM31" s="155" t="n"/>
      <c r="AN31" s="155" t="n"/>
      <c r="AO31" s="155" t="n"/>
      <c r="AP31" s="155" t="n"/>
      <c r="AQ31" s="155" t="n"/>
      <c r="AR31" s="155" t="n"/>
      <c r="AS31" s="155" t="n"/>
      <c r="AT31" s="155" t="n"/>
      <c r="AU31" s="155" t="n"/>
      <c r="AV31" s="155" t="n"/>
      <c r="AW31" s="155" t="n"/>
      <c r="AX31" s="155" t="n"/>
      <c r="AY31" s="155" t="n"/>
      <c r="AZ31" s="155" t="n"/>
      <c r="BA31" s="155" t="n"/>
      <c r="BB31" s="155" t="n"/>
      <c r="BC31" s="155" t="n"/>
      <c r="BD31" s="155" t="n"/>
      <c r="BE31" s="155" t="n"/>
      <c r="BF31" s="155" t="n"/>
      <c r="BG31" s="155" t="n"/>
      <c r="BH31" s="155" t="n"/>
      <c r="BI31" s="155" t="n"/>
      <c r="BJ31" s="155" t="n"/>
      <c r="BK31" s="155" t="n"/>
      <c r="BL31" s="155" t="n"/>
      <c r="BM31" s="155" t="n"/>
      <c r="BN31" s="155" t="n"/>
      <c r="BO31" s="155" t="n"/>
      <c r="BP31" s="155" t="n"/>
      <c r="BQ31" s="155" t="n"/>
    </row>
    <row r="32" ht="15" customHeight="1" s="104">
      <c r="A32" s="153" t="inlineStr">
        <is>
          <t>BELOW EBITDA</t>
        </is>
      </c>
      <c r="B32" s="154" t="n"/>
      <c r="C32" s="154" t="n"/>
      <c r="D32" s="154" t="n"/>
      <c r="E32" s="154" t="n"/>
      <c r="F32" s="154" t="n"/>
      <c r="G32" s="154" t="n"/>
      <c r="H32" s="154" t="n"/>
      <c r="I32" s="154" t="n"/>
      <c r="J32" s="154" t="n"/>
      <c r="K32" s="154" t="n"/>
      <c r="L32" s="154" t="n"/>
      <c r="M32" s="154" t="n"/>
      <c r="N32" s="154" t="n"/>
      <c r="O32" s="154" t="n"/>
      <c r="P32" s="154" t="n"/>
      <c r="Q32" s="154" t="n"/>
      <c r="R32" s="154" t="n"/>
      <c r="S32" s="154" t="n"/>
      <c r="T32" s="154" t="n"/>
      <c r="U32" s="154" t="n"/>
      <c r="V32" s="154" t="n"/>
      <c r="W32" s="154" t="n"/>
      <c r="X32" s="154" t="n"/>
      <c r="Y32" s="154" t="n"/>
      <c r="Z32" s="154" t="n"/>
      <c r="AA32" s="154" t="n"/>
      <c r="AB32" s="154" t="n"/>
      <c r="AC32" s="154" t="n"/>
      <c r="AD32" s="154" t="n"/>
      <c r="AE32" s="154" t="n"/>
      <c r="AF32" s="154" t="n"/>
      <c r="AG32" s="154" t="n"/>
      <c r="AH32" s="154" t="n"/>
      <c r="AI32" s="154" t="n"/>
      <c r="AJ32" s="154" t="n"/>
      <c r="AK32" s="154" t="n"/>
      <c r="AL32" s="154" t="n"/>
      <c r="AM32" s="154" t="n"/>
      <c r="AN32" s="154" t="n"/>
      <c r="AO32" s="154" t="n"/>
      <c r="AP32" s="154" t="n"/>
      <c r="AQ32" s="154" t="n"/>
      <c r="AR32" s="154" t="n"/>
      <c r="AS32" s="154" t="n"/>
      <c r="AT32" s="154" t="n"/>
      <c r="AU32" s="154" t="n"/>
      <c r="AV32" s="154" t="n"/>
      <c r="AW32" s="154" t="n"/>
      <c r="AX32" s="154" t="n"/>
      <c r="AY32" s="154" t="n"/>
      <c r="AZ32" s="154" t="n"/>
      <c r="BA32" s="154" t="n"/>
      <c r="BB32" s="154" t="n"/>
      <c r="BC32" s="154" t="n"/>
      <c r="BD32" s="154" t="n"/>
      <c r="BE32" s="154" t="n"/>
      <c r="BF32" s="154" t="n"/>
      <c r="BG32" s="154" t="n"/>
      <c r="BH32" s="154" t="n"/>
      <c r="BI32" s="154" t="n"/>
      <c r="BJ32" s="154" t="n"/>
      <c r="BK32" s="154" t="n"/>
      <c r="BL32" s="154" t="n"/>
      <c r="BM32" s="154" t="n"/>
      <c r="BN32" s="154" t="n"/>
      <c r="BO32" s="154" t="n"/>
      <c r="BP32" s="154" t="n"/>
      <c r="BQ32" s="154" t="n"/>
    </row>
    <row r="33" ht="15" customHeight="1" s="104">
      <c r="A33" s="107" t="inlineStr">
        <is>
          <t xml:space="preserve">  Interest Expense</t>
        </is>
      </c>
      <c r="B33" s="155" t="n"/>
      <c r="C33" s="156">
        <f>'Debt Schedule'!C20</f>
        <v/>
      </c>
      <c r="D33" s="156">
        <f>'Debt Schedule'!D20</f>
        <v/>
      </c>
      <c r="E33" s="156">
        <f>'Debt Schedule'!E20</f>
        <v/>
      </c>
      <c r="F33" s="156">
        <f>'Debt Schedule'!F20</f>
        <v/>
      </c>
      <c r="G33" s="156">
        <f>'Debt Schedule'!G20</f>
        <v/>
      </c>
      <c r="H33" s="156">
        <f>'Debt Schedule'!H20</f>
        <v/>
      </c>
      <c r="I33" s="156">
        <f>'Debt Schedule'!I20</f>
        <v/>
      </c>
      <c r="J33" s="156">
        <f>'Debt Schedule'!J20</f>
        <v/>
      </c>
      <c r="K33" s="156">
        <f>'Debt Schedule'!K20</f>
        <v/>
      </c>
      <c r="L33" s="156">
        <f>'Debt Schedule'!L20</f>
        <v/>
      </c>
      <c r="M33" s="156">
        <f>'Debt Schedule'!M20</f>
        <v/>
      </c>
      <c r="N33" s="156">
        <f>'Debt Schedule'!N20</f>
        <v/>
      </c>
      <c r="O33" s="156">
        <f>'Debt Schedule'!O20</f>
        <v/>
      </c>
      <c r="P33" s="156">
        <f>'Debt Schedule'!P20</f>
        <v/>
      </c>
      <c r="Q33" s="156">
        <f>'Debt Schedule'!Q20</f>
        <v/>
      </c>
      <c r="R33" s="156">
        <f>'Debt Schedule'!R20</f>
        <v/>
      </c>
      <c r="S33" s="156">
        <f>'Debt Schedule'!S20</f>
        <v/>
      </c>
      <c r="T33" s="156">
        <f>'Debt Schedule'!T20</f>
        <v/>
      </c>
      <c r="U33" s="156">
        <f>'Debt Schedule'!U20</f>
        <v/>
      </c>
      <c r="V33" s="156">
        <f>'Debt Schedule'!V20</f>
        <v/>
      </c>
      <c r="W33" s="156">
        <f>'Debt Schedule'!W20</f>
        <v/>
      </c>
      <c r="X33" s="156">
        <f>'Debt Schedule'!X20</f>
        <v/>
      </c>
      <c r="Y33" s="156">
        <f>'Debt Schedule'!Y20</f>
        <v/>
      </c>
      <c r="Z33" s="156">
        <f>'Debt Schedule'!Z20</f>
        <v/>
      </c>
      <c r="AA33" s="156">
        <f>'Debt Schedule'!AA20</f>
        <v/>
      </c>
      <c r="AB33" s="156">
        <f>'Debt Schedule'!AB20</f>
        <v/>
      </c>
      <c r="AC33" s="156">
        <f>'Debt Schedule'!AC20</f>
        <v/>
      </c>
      <c r="AD33" s="156">
        <f>'Debt Schedule'!AD20</f>
        <v/>
      </c>
      <c r="AE33" s="156">
        <f>'Debt Schedule'!AE20</f>
        <v/>
      </c>
      <c r="AF33" s="156">
        <f>'Debt Schedule'!AF20</f>
        <v/>
      </c>
      <c r="AG33" s="156">
        <f>'Debt Schedule'!AG20</f>
        <v/>
      </c>
      <c r="AH33" s="156">
        <f>'Debt Schedule'!AH20</f>
        <v/>
      </c>
      <c r="AI33" s="156">
        <f>'Debt Schedule'!AI20</f>
        <v/>
      </c>
      <c r="AJ33" s="156">
        <f>'Debt Schedule'!AJ20</f>
        <v/>
      </c>
      <c r="AK33" s="156">
        <f>'Debt Schedule'!AK20</f>
        <v/>
      </c>
      <c r="AL33" s="156">
        <f>'Debt Schedule'!AL20</f>
        <v/>
      </c>
      <c r="AM33" s="156">
        <f>'Debt Schedule'!AM20</f>
        <v/>
      </c>
      <c r="AN33" s="156">
        <f>'Debt Schedule'!AN20</f>
        <v/>
      </c>
      <c r="AO33" s="156">
        <f>'Debt Schedule'!AO20</f>
        <v/>
      </c>
      <c r="AP33" s="156">
        <f>'Debt Schedule'!AP20</f>
        <v/>
      </c>
      <c r="AQ33" s="156">
        <f>'Debt Schedule'!AQ20</f>
        <v/>
      </c>
      <c r="AR33" s="156">
        <f>'Debt Schedule'!AR20</f>
        <v/>
      </c>
      <c r="AS33" s="156">
        <f>'Debt Schedule'!AS20</f>
        <v/>
      </c>
      <c r="AT33" s="156">
        <f>'Debt Schedule'!AT20</f>
        <v/>
      </c>
      <c r="AU33" s="156">
        <f>'Debt Schedule'!AU20</f>
        <v/>
      </c>
      <c r="AV33" s="156">
        <f>'Debt Schedule'!AV20</f>
        <v/>
      </c>
      <c r="AW33" s="156">
        <f>'Debt Schedule'!AW20</f>
        <v/>
      </c>
      <c r="AX33" s="156">
        <f>'Debt Schedule'!AX20</f>
        <v/>
      </c>
      <c r="AY33" s="156">
        <f>'Debt Schedule'!AY20</f>
        <v/>
      </c>
      <c r="AZ33" s="156">
        <f>'Debt Schedule'!AZ20</f>
        <v/>
      </c>
      <c r="BA33" s="156">
        <f>'Debt Schedule'!BA20</f>
        <v/>
      </c>
      <c r="BB33" s="156">
        <f>'Debt Schedule'!BB20</f>
        <v/>
      </c>
      <c r="BC33" s="156">
        <f>'Debt Schedule'!BC20</f>
        <v/>
      </c>
      <c r="BD33" s="156">
        <f>'Debt Schedule'!BD20</f>
        <v/>
      </c>
      <c r="BE33" s="156">
        <f>'Debt Schedule'!BE20</f>
        <v/>
      </c>
      <c r="BF33" s="156">
        <f>'Debt Schedule'!BF20</f>
        <v/>
      </c>
      <c r="BG33" s="156">
        <f>'Debt Schedule'!BG20</f>
        <v/>
      </c>
      <c r="BH33" s="156">
        <f>'Debt Schedule'!BH20</f>
        <v/>
      </c>
      <c r="BI33" s="156">
        <f>'Debt Schedule'!BI20</f>
        <v/>
      </c>
      <c r="BJ33" s="156">
        <f>'Debt Schedule'!BJ20</f>
        <v/>
      </c>
      <c r="BK33" s="155" t="n"/>
      <c r="BL33" s="157">
        <f>C33+D33+E33+F33+G33+H33+I33+J33+K33+L33+M33+N33</f>
        <v/>
      </c>
      <c r="BM33" s="157">
        <f>O33+P33+Q33+R33+S33+T33+U33+V33+W33+X33+Y33+Z33</f>
        <v/>
      </c>
      <c r="BN33" s="157">
        <f>AA33+AB33+AC33+AD33+AE33+AF33+AG33+AH33+AI33+AJ33+AK33+AL33</f>
        <v/>
      </c>
      <c r="BO33" s="157">
        <f>AM33+AN33+AO33+AP33+AQ33+AR33+AS33+AT33+AU33+AV33+AW33+AX33</f>
        <v/>
      </c>
      <c r="BP33" s="157">
        <f>AY33+AZ33+BA33+BB33+BC33+BD33+BE33+BF33+BG33+BH33+BI33+BJ33</f>
        <v/>
      </c>
      <c r="BQ33" s="155" t="n"/>
    </row>
    <row r="34" ht="15" customHeight="1" s="104">
      <c r="A34" s="116" t="inlineStr">
        <is>
          <t>EBT (Pre-Tax Income)</t>
        </is>
      </c>
      <c r="B34" s="155" t="n"/>
      <c r="C34" s="151">
        <f>C30-C33</f>
        <v/>
      </c>
      <c r="D34" s="151">
        <f>D30-D33</f>
        <v/>
      </c>
      <c r="E34" s="151">
        <f>E30-E33</f>
        <v/>
      </c>
      <c r="F34" s="151">
        <f>F30-F33</f>
        <v/>
      </c>
      <c r="G34" s="151">
        <f>G30-G33</f>
        <v/>
      </c>
      <c r="H34" s="151">
        <f>H30-H33</f>
        <v/>
      </c>
      <c r="I34" s="151">
        <f>I30-I33</f>
        <v/>
      </c>
      <c r="J34" s="151">
        <f>J30-J33</f>
        <v/>
      </c>
      <c r="K34" s="151">
        <f>K30-K33</f>
        <v/>
      </c>
      <c r="L34" s="151">
        <f>L30-L33</f>
        <v/>
      </c>
      <c r="M34" s="151">
        <f>M30-M33</f>
        <v/>
      </c>
      <c r="N34" s="151">
        <f>N30-N33</f>
        <v/>
      </c>
      <c r="O34" s="151">
        <f>O30-O33</f>
        <v/>
      </c>
      <c r="P34" s="151">
        <f>P30-P33</f>
        <v/>
      </c>
      <c r="Q34" s="151">
        <f>Q30-Q33</f>
        <v/>
      </c>
      <c r="R34" s="151">
        <f>R30-R33</f>
        <v/>
      </c>
      <c r="S34" s="151">
        <f>S30-S33</f>
        <v/>
      </c>
      <c r="T34" s="151">
        <f>T30-T33</f>
        <v/>
      </c>
      <c r="U34" s="151">
        <f>U30-U33</f>
        <v/>
      </c>
      <c r="V34" s="151">
        <f>V30-V33</f>
        <v/>
      </c>
      <c r="W34" s="151">
        <f>W30-W33</f>
        <v/>
      </c>
      <c r="X34" s="151">
        <f>X30-X33</f>
        <v/>
      </c>
      <c r="Y34" s="151">
        <f>Y30-Y33</f>
        <v/>
      </c>
      <c r="Z34" s="151">
        <f>Z30-Z33</f>
        <v/>
      </c>
      <c r="AA34" s="151">
        <f>AA30-AA33</f>
        <v/>
      </c>
      <c r="AB34" s="151">
        <f>AB30-AB33</f>
        <v/>
      </c>
      <c r="AC34" s="151">
        <f>AC30-AC33</f>
        <v/>
      </c>
      <c r="AD34" s="151">
        <f>AD30-AD33</f>
        <v/>
      </c>
      <c r="AE34" s="151">
        <f>AE30-AE33</f>
        <v/>
      </c>
      <c r="AF34" s="151">
        <f>AF30-AF33</f>
        <v/>
      </c>
      <c r="AG34" s="151">
        <f>AG30-AG33</f>
        <v/>
      </c>
      <c r="AH34" s="151">
        <f>AH30-AH33</f>
        <v/>
      </c>
      <c r="AI34" s="151">
        <f>AI30-AI33</f>
        <v/>
      </c>
      <c r="AJ34" s="151">
        <f>AJ30-AJ33</f>
        <v/>
      </c>
      <c r="AK34" s="151">
        <f>AK30-AK33</f>
        <v/>
      </c>
      <c r="AL34" s="151">
        <f>AL30-AL33</f>
        <v/>
      </c>
      <c r="AM34" s="151">
        <f>AM30-AM33</f>
        <v/>
      </c>
      <c r="AN34" s="151">
        <f>AN30-AN33</f>
        <v/>
      </c>
      <c r="AO34" s="151">
        <f>AO30-AO33</f>
        <v/>
      </c>
      <c r="AP34" s="151">
        <f>AP30-AP33</f>
        <v/>
      </c>
      <c r="AQ34" s="151">
        <f>AQ30-AQ33</f>
        <v/>
      </c>
      <c r="AR34" s="151">
        <f>AR30-AR33</f>
        <v/>
      </c>
      <c r="AS34" s="151">
        <f>AS30-AS33</f>
        <v/>
      </c>
      <c r="AT34" s="151">
        <f>AT30-AT33</f>
        <v/>
      </c>
      <c r="AU34" s="151">
        <f>AU30-AU33</f>
        <v/>
      </c>
      <c r="AV34" s="151">
        <f>AV30-AV33</f>
        <v/>
      </c>
      <c r="AW34" s="151">
        <f>AW30-AW33</f>
        <v/>
      </c>
      <c r="AX34" s="151">
        <f>AX30-AX33</f>
        <v/>
      </c>
      <c r="AY34" s="151">
        <f>AY30-AY33</f>
        <v/>
      </c>
      <c r="AZ34" s="151">
        <f>AZ30-AZ33</f>
        <v/>
      </c>
      <c r="BA34" s="151">
        <f>BA30-BA33</f>
        <v/>
      </c>
      <c r="BB34" s="151">
        <f>BB30-BB33</f>
        <v/>
      </c>
      <c r="BC34" s="151">
        <f>BC30-BC33</f>
        <v/>
      </c>
      <c r="BD34" s="151">
        <f>BD30-BD33</f>
        <v/>
      </c>
      <c r="BE34" s="151">
        <f>BE30-BE33</f>
        <v/>
      </c>
      <c r="BF34" s="151">
        <f>BF30-BF33</f>
        <v/>
      </c>
      <c r="BG34" s="151">
        <f>BG30-BG33</f>
        <v/>
      </c>
      <c r="BH34" s="151">
        <f>BH30-BH33</f>
        <v/>
      </c>
      <c r="BI34" s="151">
        <f>BI30-BI33</f>
        <v/>
      </c>
      <c r="BJ34" s="151">
        <f>BJ30-BJ33</f>
        <v/>
      </c>
      <c r="BK34" s="155" t="n"/>
      <c r="BL34" s="152">
        <f>C34+D34+E34+F34+G34+H34+I34+J34+K34+L34+M34+N34</f>
        <v/>
      </c>
      <c r="BM34" s="152">
        <f>O34+P34+Q34+R34+S34+T34+U34+V34+W34+X34+Y34+Z34</f>
        <v/>
      </c>
      <c r="BN34" s="152">
        <f>AA34+AB34+AC34+AD34+AE34+AF34+AG34+AH34+AI34+AJ34+AK34+AL34</f>
        <v/>
      </c>
      <c r="BO34" s="152">
        <f>AM34+AN34+AO34+AP34+AQ34+AR34+AS34+AT34+AU34+AV34+AW34+AX34</f>
        <v/>
      </c>
      <c r="BP34" s="152">
        <f>AY34+AZ34+BA34+BB34+BC34+BD34+BE34+BF34+BG34+BH34+BI34+BJ34</f>
        <v/>
      </c>
      <c r="BQ34" s="155" t="n"/>
    </row>
    <row r="35" ht="15" customHeight="1" s="104">
      <c r="A35" s="107" t="inlineStr">
        <is>
          <t xml:space="preserve">  Income Tax Provision</t>
        </is>
      </c>
      <c r="B35" s="155" t="n"/>
      <c r="C35" s="156">
        <f>MAX(C34*Assumptions!B42,0)</f>
        <v/>
      </c>
      <c r="D35" s="156">
        <f>MAX(D34*Assumptions!B42,0)</f>
        <v/>
      </c>
      <c r="E35" s="156">
        <f>MAX(E34*Assumptions!B42,0)</f>
        <v/>
      </c>
      <c r="F35" s="156">
        <f>MAX(F34*Assumptions!B42,0)</f>
        <v/>
      </c>
      <c r="G35" s="156">
        <f>MAX(G34*Assumptions!B42,0)</f>
        <v/>
      </c>
      <c r="H35" s="156">
        <f>MAX(H34*Assumptions!B42,0)</f>
        <v/>
      </c>
      <c r="I35" s="156">
        <f>MAX(I34*Assumptions!B42,0)</f>
        <v/>
      </c>
      <c r="J35" s="156">
        <f>MAX(J34*Assumptions!B42,0)</f>
        <v/>
      </c>
      <c r="K35" s="156">
        <f>MAX(K34*Assumptions!B42,0)</f>
        <v/>
      </c>
      <c r="L35" s="156">
        <f>MAX(L34*Assumptions!B42,0)</f>
        <v/>
      </c>
      <c r="M35" s="156">
        <f>MAX(M34*Assumptions!B42,0)</f>
        <v/>
      </c>
      <c r="N35" s="156">
        <f>MAX(N34*Assumptions!B42,0)</f>
        <v/>
      </c>
      <c r="O35" s="156">
        <f>MAX(O34*Assumptions!B42,0)</f>
        <v/>
      </c>
      <c r="P35" s="156">
        <f>MAX(P34*Assumptions!B42,0)</f>
        <v/>
      </c>
      <c r="Q35" s="156">
        <f>MAX(Q34*Assumptions!B42,0)</f>
        <v/>
      </c>
      <c r="R35" s="156">
        <f>MAX(R34*Assumptions!B42,0)</f>
        <v/>
      </c>
      <c r="S35" s="156">
        <f>MAX(S34*Assumptions!B42,0)</f>
        <v/>
      </c>
      <c r="T35" s="156">
        <f>MAX(T34*Assumptions!B42,0)</f>
        <v/>
      </c>
      <c r="U35" s="156">
        <f>MAX(U34*Assumptions!B42,0)</f>
        <v/>
      </c>
      <c r="V35" s="156">
        <f>MAX(V34*Assumptions!B42,0)</f>
        <v/>
      </c>
      <c r="W35" s="156">
        <f>MAX(W34*Assumptions!B42,0)</f>
        <v/>
      </c>
      <c r="X35" s="156">
        <f>MAX(X34*Assumptions!B42,0)</f>
        <v/>
      </c>
      <c r="Y35" s="156">
        <f>MAX(Y34*Assumptions!B42,0)</f>
        <v/>
      </c>
      <c r="Z35" s="156">
        <f>MAX(Z34*Assumptions!B42,0)</f>
        <v/>
      </c>
      <c r="AA35" s="156">
        <f>MAX(AA34*Assumptions!B42,0)</f>
        <v/>
      </c>
      <c r="AB35" s="156">
        <f>MAX(AB34*Assumptions!B42,0)</f>
        <v/>
      </c>
      <c r="AC35" s="156">
        <f>MAX(AC34*Assumptions!B42,0)</f>
        <v/>
      </c>
      <c r="AD35" s="156">
        <f>MAX(AD34*Assumptions!B42,0)</f>
        <v/>
      </c>
      <c r="AE35" s="156">
        <f>MAX(AE34*Assumptions!B42,0)</f>
        <v/>
      </c>
      <c r="AF35" s="156">
        <f>MAX(AF34*Assumptions!B42,0)</f>
        <v/>
      </c>
      <c r="AG35" s="156">
        <f>MAX(AG34*Assumptions!B42,0)</f>
        <v/>
      </c>
      <c r="AH35" s="156">
        <f>MAX(AH34*Assumptions!B42,0)</f>
        <v/>
      </c>
      <c r="AI35" s="156">
        <f>MAX(AI34*Assumptions!B42,0)</f>
        <v/>
      </c>
      <c r="AJ35" s="156">
        <f>MAX(AJ34*Assumptions!B42,0)</f>
        <v/>
      </c>
      <c r="AK35" s="156">
        <f>MAX(AK34*Assumptions!B42,0)</f>
        <v/>
      </c>
      <c r="AL35" s="156">
        <f>MAX(AL34*Assumptions!B42,0)</f>
        <v/>
      </c>
      <c r="AM35" s="156">
        <f>MAX(AM34*Assumptions!B42,0)</f>
        <v/>
      </c>
      <c r="AN35" s="156">
        <f>MAX(AN34*Assumptions!B42,0)</f>
        <v/>
      </c>
      <c r="AO35" s="156">
        <f>MAX(AO34*Assumptions!B42,0)</f>
        <v/>
      </c>
      <c r="AP35" s="156">
        <f>MAX(AP34*Assumptions!B42,0)</f>
        <v/>
      </c>
      <c r="AQ35" s="156">
        <f>MAX(AQ34*Assumptions!B42,0)</f>
        <v/>
      </c>
      <c r="AR35" s="156">
        <f>MAX(AR34*Assumptions!B42,0)</f>
        <v/>
      </c>
      <c r="AS35" s="156">
        <f>MAX(AS34*Assumptions!B42,0)</f>
        <v/>
      </c>
      <c r="AT35" s="156">
        <f>MAX(AT34*Assumptions!B42,0)</f>
        <v/>
      </c>
      <c r="AU35" s="156">
        <f>MAX(AU34*Assumptions!B42,0)</f>
        <v/>
      </c>
      <c r="AV35" s="156">
        <f>MAX(AV34*Assumptions!B42,0)</f>
        <v/>
      </c>
      <c r="AW35" s="156">
        <f>MAX(AW34*Assumptions!B42,0)</f>
        <v/>
      </c>
      <c r="AX35" s="156">
        <f>MAX(AX34*Assumptions!B42,0)</f>
        <v/>
      </c>
      <c r="AY35" s="156">
        <f>MAX(AY34*Assumptions!B42,0)</f>
        <v/>
      </c>
      <c r="AZ35" s="156">
        <f>MAX(AZ34*Assumptions!B42,0)</f>
        <v/>
      </c>
      <c r="BA35" s="156">
        <f>MAX(BA34*Assumptions!B42,0)</f>
        <v/>
      </c>
      <c r="BB35" s="156">
        <f>MAX(BB34*Assumptions!B42,0)</f>
        <v/>
      </c>
      <c r="BC35" s="156">
        <f>MAX(BC34*Assumptions!B42,0)</f>
        <v/>
      </c>
      <c r="BD35" s="156">
        <f>MAX(BD34*Assumptions!B42,0)</f>
        <v/>
      </c>
      <c r="BE35" s="156">
        <f>MAX(BE34*Assumptions!B42,0)</f>
        <v/>
      </c>
      <c r="BF35" s="156">
        <f>MAX(BF34*Assumptions!B42,0)</f>
        <v/>
      </c>
      <c r="BG35" s="156">
        <f>MAX(BG34*Assumptions!B42,0)</f>
        <v/>
      </c>
      <c r="BH35" s="156">
        <f>MAX(BH34*Assumptions!B42,0)</f>
        <v/>
      </c>
      <c r="BI35" s="156">
        <f>MAX(BI34*Assumptions!B42,0)</f>
        <v/>
      </c>
      <c r="BJ35" s="156">
        <f>MAX(BJ34*Assumptions!B42,0)</f>
        <v/>
      </c>
      <c r="BK35" s="155" t="n"/>
      <c r="BL35" s="157">
        <f>C35+D35+E35+F35+G35+H35+I35+J35+K35+L35+M35+N35</f>
        <v/>
      </c>
      <c r="BM35" s="157">
        <f>O35+P35+Q35+R35+S35+T35+U35+V35+W35+X35+Y35+Z35</f>
        <v/>
      </c>
      <c r="BN35" s="157">
        <f>AA35+AB35+AC35+AD35+AE35+AF35+AG35+AH35+AI35+AJ35+AK35+AL35</f>
        <v/>
      </c>
      <c r="BO35" s="157">
        <f>AM35+AN35+AO35+AP35+AQ35+AR35+AS35+AT35+AU35+AV35+AW35+AX35</f>
        <v/>
      </c>
      <c r="BP35" s="157">
        <f>AY35+AZ35+BA35+BB35+BC35+BD35+BE35+BF35+BG35+BH35+BI35+BJ35</f>
        <v/>
      </c>
      <c r="BQ35" s="155" t="n"/>
    </row>
    <row r="36" ht="15" customHeight="1" s="104">
      <c r="A36" s="116" t="inlineStr">
        <is>
          <t>Net Income</t>
        </is>
      </c>
      <c r="B36" s="155" t="n"/>
      <c r="C36" s="151">
        <f>C34-C35</f>
        <v/>
      </c>
      <c r="D36" s="151">
        <f>D34-D35</f>
        <v/>
      </c>
      <c r="E36" s="151">
        <f>E34-E35</f>
        <v/>
      </c>
      <c r="F36" s="151">
        <f>F34-F35</f>
        <v/>
      </c>
      <c r="G36" s="151">
        <f>G34-G35</f>
        <v/>
      </c>
      <c r="H36" s="151">
        <f>H34-H35</f>
        <v/>
      </c>
      <c r="I36" s="151">
        <f>I34-I35</f>
        <v/>
      </c>
      <c r="J36" s="151">
        <f>J34-J35</f>
        <v/>
      </c>
      <c r="K36" s="151">
        <f>K34-K35</f>
        <v/>
      </c>
      <c r="L36" s="151">
        <f>L34-L35</f>
        <v/>
      </c>
      <c r="M36" s="151">
        <f>M34-M35</f>
        <v/>
      </c>
      <c r="N36" s="151">
        <f>N34-N35</f>
        <v/>
      </c>
      <c r="O36" s="151">
        <f>O34-O35</f>
        <v/>
      </c>
      <c r="P36" s="151">
        <f>P34-P35</f>
        <v/>
      </c>
      <c r="Q36" s="151">
        <f>Q34-Q35</f>
        <v/>
      </c>
      <c r="R36" s="151">
        <f>R34-R35</f>
        <v/>
      </c>
      <c r="S36" s="151">
        <f>S34-S35</f>
        <v/>
      </c>
      <c r="T36" s="151">
        <f>T34-T35</f>
        <v/>
      </c>
      <c r="U36" s="151">
        <f>U34-U35</f>
        <v/>
      </c>
      <c r="V36" s="151">
        <f>V34-V35</f>
        <v/>
      </c>
      <c r="W36" s="151">
        <f>W34-W35</f>
        <v/>
      </c>
      <c r="X36" s="151">
        <f>X34-X35</f>
        <v/>
      </c>
      <c r="Y36" s="151">
        <f>Y34-Y35</f>
        <v/>
      </c>
      <c r="Z36" s="151">
        <f>Z34-Z35</f>
        <v/>
      </c>
      <c r="AA36" s="151">
        <f>AA34-AA35</f>
        <v/>
      </c>
      <c r="AB36" s="151">
        <f>AB34-AB35</f>
        <v/>
      </c>
      <c r="AC36" s="151">
        <f>AC34-AC35</f>
        <v/>
      </c>
      <c r="AD36" s="151">
        <f>AD34-AD35</f>
        <v/>
      </c>
      <c r="AE36" s="151">
        <f>AE34-AE35</f>
        <v/>
      </c>
      <c r="AF36" s="151">
        <f>AF34-AF35</f>
        <v/>
      </c>
      <c r="AG36" s="151">
        <f>AG34-AG35</f>
        <v/>
      </c>
      <c r="AH36" s="151">
        <f>AH34-AH35</f>
        <v/>
      </c>
      <c r="AI36" s="151">
        <f>AI34-AI35</f>
        <v/>
      </c>
      <c r="AJ36" s="151">
        <f>AJ34-AJ35</f>
        <v/>
      </c>
      <c r="AK36" s="151">
        <f>AK34-AK35</f>
        <v/>
      </c>
      <c r="AL36" s="151">
        <f>AL34-AL35</f>
        <v/>
      </c>
      <c r="AM36" s="151">
        <f>AM34-AM35</f>
        <v/>
      </c>
      <c r="AN36" s="151">
        <f>AN34-AN35</f>
        <v/>
      </c>
      <c r="AO36" s="151">
        <f>AO34-AO35</f>
        <v/>
      </c>
      <c r="AP36" s="151">
        <f>AP34-AP35</f>
        <v/>
      </c>
      <c r="AQ36" s="151">
        <f>AQ34-AQ35</f>
        <v/>
      </c>
      <c r="AR36" s="151">
        <f>AR34-AR35</f>
        <v/>
      </c>
      <c r="AS36" s="151">
        <f>AS34-AS35</f>
        <v/>
      </c>
      <c r="AT36" s="151">
        <f>AT34-AT35</f>
        <v/>
      </c>
      <c r="AU36" s="151">
        <f>AU34-AU35</f>
        <v/>
      </c>
      <c r="AV36" s="151">
        <f>AV34-AV35</f>
        <v/>
      </c>
      <c r="AW36" s="151">
        <f>AW34-AW35</f>
        <v/>
      </c>
      <c r="AX36" s="151">
        <f>AX34-AX35</f>
        <v/>
      </c>
      <c r="AY36" s="151">
        <f>AY34-AY35</f>
        <v/>
      </c>
      <c r="AZ36" s="151">
        <f>AZ34-AZ35</f>
        <v/>
      </c>
      <c r="BA36" s="151">
        <f>BA34-BA35</f>
        <v/>
      </c>
      <c r="BB36" s="151">
        <f>BB34-BB35</f>
        <v/>
      </c>
      <c r="BC36" s="151">
        <f>BC34-BC35</f>
        <v/>
      </c>
      <c r="BD36" s="151">
        <f>BD34-BD35</f>
        <v/>
      </c>
      <c r="BE36" s="151">
        <f>BE34-BE35</f>
        <v/>
      </c>
      <c r="BF36" s="151">
        <f>BF34-BF35</f>
        <v/>
      </c>
      <c r="BG36" s="151">
        <f>BG34-BG35</f>
        <v/>
      </c>
      <c r="BH36" s="151">
        <f>BH34-BH35</f>
        <v/>
      </c>
      <c r="BI36" s="151">
        <f>BI34-BI35</f>
        <v/>
      </c>
      <c r="BJ36" s="151">
        <f>BJ34-BJ35</f>
        <v/>
      </c>
      <c r="BK36" s="155" t="n"/>
      <c r="BL36" s="152">
        <f>C36+D36+E36+F36+G36+H36+I36+J36+K36+L36+M36+N36</f>
        <v/>
      </c>
      <c r="BM36" s="152">
        <f>O36+P36+Q36+R36+S36+T36+U36+V36+W36+X36+Y36+Z36</f>
        <v/>
      </c>
      <c r="BN36" s="152">
        <f>AA36+AB36+AC36+AD36+AE36+AF36+AG36+AH36+AI36+AJ36+AK36+AL36</f>
        <v/>
      </c>
      <c r="BO36" s="152">
        <f>AM36+AN36+AO36+AP36+AQ36+AR36+AS36+AT36+AU36+AV36+AW36+AX36</f>
        <v/>
      </c>
      <c r="BP36" s="152">
        <f>AY36+AZ36+BA36+BB36+BC36+BD36+BE36+BF36+BG36+BH36+BI36+BJ36</f>
        <v/>
      </c>
      <c r="BQ36" s="155" t="n"/>
    </row>
    <row r="37" ht="15" customHeight="1" s="104">
      <c r="A37" s="158" t="inlineStr">
        <is>
          <t xml:space="preserve">        Net Margin %</t>
        </is>
      </c>
      <c r="B37" s="155" t="n"/>
      <c r="C37" s="159">
        <f>IF(C6=0,0,C36/C6)</f>
        <v/>
      </c>
      <c r="D37" s="159">
        <f>IF(D6=0,0,D36/D6)</f>
        <v/>
      </c>
      <c r="E37" s="159">
        <f>IF(E6=0,0,E36/E6)</f>
        <v/>
      </c>
      <c r="F37" s="159">
        <f>IF(F6=0,0,F36/F6)</f>
        <v/>
      </c>
      <c r="G37" s="159">
        <f>IF(G6=0,0,G36/G6)</f>
        <v/>
      </c>
      <c r="H37" s="159">
        <f>IF(H6=0,0,H36/H6)</f>
        <v/>
      </c>
      <c r="I37" s="159">
        <f>IF(I6=0,0,I36/I6)</f>
        <v/>
      </c>
      <c r="J37" s="159">
        <f>IF(J6=0,0,J36/J6)</f>
        <v/>
      </c>
      <c r="K37" s="159">
        <f>IF(K6=0,0,K36/K6)</f>
        <v/>
      </c>
      <c r="L37" s="159">
        <f>IF(L6=0,0,L36/L6)</f>
        <v/>
      </c>
      <c r="M37" s="159">
        <f>IF(M6=0,0,M36/M6)</f>
        <v/>
      </c>
      <c r="N37" s="159">
        <f>IF(N6=0,0,N36/N6)</f>
        <v/>
      </c>
      <c r="O37" s="159">
        <f>IF(O6=0,0,O36/O6)</f>
        <v/>
      </c>
      <c r="P37" s="159">
        <f>IF(P6=0,0,P36/P6)</f>
        <v/>
      </c>
      <c r="Q37" s="159">
        <f>IF(Q6=0,0,Q36/Q6)</f>
        <v/>
      </c>
      <c r="R37" s="159">
        <f>IF(R6=0,0,R36/R6)</f>
        <v/>
      </c>
      <c r="S37" s="159">
        <f>IF(S6=0,0,S36/S6)</f>
        <v/>
      </c>
      <c r="T37" s="159">
        <f>IF(T6=0,0,T36/T6)</f>
        <v/>
      </c>
      <c r="U37" s="159">
        <f>IF(U6=0,0,U36/U6)</f>
        <v/>
      </c>
      <c r="V37" s="159">
        <f>IF(V6=0,0,V36/V6)</f>
        <v/>
      </c>
      <c r="W37" s="159">
        <f>IF(W6=0,0,W36/W6)</f>
        <v/>
      </c>
      <c r="X37" s="159">
        <f>IF(X6=0,0,X36/X6)</f>
        <v/>
      </c>
      <c r="Y37" s="159">
        <f>IF(Y6=0,0,Y36/Y6)</f>
        <v/>
      </c>
      <c r="Z37" s="159">
        <f>IF(Z6=0,0,Z36/Z6)</f>
        <v/>
      </c>
      <c r="AA37" s="159">
        <f>IF(AA6=0,0,AA36/AA6)</f>
        <v/>
      </c>
      <c r="AB37" s="159">
        <f>IF(AB6=0,0,AB36/AB6)</f>
        <v/>
      </c>
      <c r="AC37" s="159">
        <f>IF(AC6=0,0,AC36/AC6)</f>
        <v/>
      </c>
      <c r="AD37" s="159">
        <f>IF(AD6=0,0,AD36/AD6)</f>
        <v/>
      </c>
      <c r="AE37" s="159">
        <f>IF(AE6=0,0,AE36/AE6)</f>
        <v/>
      </c>
      <c r="AF37" s="159">
        <f>IF(AF6=0,0,AF36/AF6)</f>
        <v/>
      </c>
      <c r="AG37" s="159">
        <f>IF(AG6=0,0,AG36/AG6)</f>
        <v/>
      </c>
      <c r="AH37" s="159">
        <f>IF(AH6=0,0,AH36/AH6)</f>
        <v/>
      </c>
      <c r="AI37" s="159">
        <f>IF(AI6=0,0,AI36/AI6)</f>
        <v/>
      </c>
      <c r="AJ37" s="159">
        <f>IF(AJ6=0,0,AJ36/AJ6)</f>
        <v/>
      </c>
      <c r="AK37" s="159">
        <f>IF(AK6=0,0,AK36/AK6)</f>
        <v/>
      </c>
      <c r="AL37" s="159">
        <f>IF(AL6=0,0,AL36/AL6)</f>
        <v/>
      </c>
      <c r="AM37" s="159">
        <f>IF(AM6=0,0,AM36/AM6)</f>
        <v/>
      </c>
      <c r="AN37" s="159">
        <f>IF(AN6=0,0,AN36/AN6)</f>
        <v/>
      </c>
      <c r="AO37" s="159">
        <f>IF(AO6=0,0,AO36/AO6)</f>
        <v/>
      </c>
      <c r="AP37" s="159">
        <f>IF(AP6=0,0,AP36/AP6)</f>
        <v/>
      </c>
      <c r="AQ37" s="159">
        <f>IF(AQ6=0,0,AQ36/AQ6)</f>
        <v/>
      </c>
      <c r="AR37" s="159">
        <f>IF(AR6=0,0,AR36/AR6)</f>
        <v/>
      </c>
      <c r="AS37" s="159">
        <f>IF(AS6=0,0,AS36/AS6)</f>
        <v/>
      </c>
      <c r="AT37" s="159">
        <f>IF(AT6=0,0,AT36/AT6)</f>
        <v/>
      </c>
      <c r="AU37" s="159">
        <f>IF(AU6=0,0,AU36/AU6)</f>
        <v/>
      </c>
      <c r="AV37" s="159">
        <f>IF(AV6=0,0,AV36/AV6)</f>
        <v/>
      </c>
      <c r="AW37" s="159">
        <f>IF(AW6=0,0,AW36/AW6)</f>
        <v/>
      </c>
      <c r="AX37" s="159">
        <f>IF(AX6=0,0,AX36/AX6)</f>
        <v/>
      </c>
      <c r="AY37" s="159">
        <f>IF(AY6=0,0,AY36/AY6)</f>
        <v/>
      </c>
      <c r="AZ37" s="159">
        <f>IF(AZ6=0,0,AZ36/AZ6)</f>
        <v/>
      </c>
      <c r="BA37" s="159">
        <f>IF(BA6=0,0,BA36/BA6)</f>
        <v/>
      </c>
      <c r="BB37" s="159">
        <f>IF(BB6=0,0,BB36/BB6)</f>
        <v/>
      </c>
      <c r="BC37" s="159">
        <f>IF(BC6=0,0,BC36/BC6)</f>
        <v/>
      </c>
      <c r="BD37" s="159">
        <f>IF(BD6=0,0,BD36/BD6)</f>
        <v/>
      </c>
      <c r="BE37" s="159">
        <f>IF(BE6=0,0,BE36/BE6)</f>
        <v/>
      </c>
      <c r="BF37" s="159">
        <f>IF(BF6=0,0,BF36/BF6)</f>
        <v/>
      </c>
      <c r="BG37" s="159">
        <f>IF(BG6=0,0,BG36/BG6)</f>
        <v/>
      </c>
      <c r="BH37" s="159">
        <f>IF(BH6=0,0,BH36/BH6)</f>
        <v/>
      </c>
      <c r="BI37" s="159">
        <f>IF(BI6=0,0,BI36/BI6)</f>
        <v/>
      </c>
      <c r="BJ37" s="159">
        <f>IF(BJ6=0,0,BJ36/BJ6)</f>
        <v/>
      </c>
      <c r="BK37" s="155" t="n"/>
      <c r="BL37" s="160">
        <f>IF((C6+D6+E6+F6+G6+H6+I6+J6+K6+L6+M6+N6)=0,0,(C36+D36+E36+F36+G36+H36+I36+J36+K36+L36+M36+N36)/(C6+D6+E6+F6+G6+H6+I6+J6+K6+L6+M6+N6))</f>
        <v/>
      </c>
      <c r="BM37" s="160">
        <f>IF((O6+P6+Q6+R6+S6+T6+U6+V6+W6+X6+Y6+Z6)=0,0,(O36+P36+Q36+R36+S36+T36+U36+V36+W36+X36+Y36+Z36)/(O6+P6+Q6+R6+S6+T6+U6+V6+W6+X6+Y6+Z6))</f>
        <v/>
      </c>
      <c r="BN37" s="160">
        <f>IF((AA6+AB6+AC6+AD6+AE6+AF6+AG6+AH6+AI6+AJ6+AK6+AL6)=0,0,(AA36+AB36+AC36+AD36+AE36+AF36+AG36+AH36+AI36+AJ36+AK36+AL36)/(AA6+AB6+AC6+AD6+AE6+AF6+AG6+AH6+AI6+AJ6+AK6+AL6))</f>
        <v/>
      </c>
      <c r="BO37" s="160">
        <f>IF((AM6+AN6+AO6+AP6+AQ6+AR6+AS6+AT6+AU6+AV6+AW6+AX6)=0,0,(AM36+AN36+AO36+AP36+AQ36+AR36+AS36+AT36+AU36+AV36+AW36+AX36)/(AM6+AN6+AO6+AP6+AQ6+AR6+AS6+AT6+AU6+AV6+AW6+AX6))</f>
        <v/>
      </c>
      <c r="BP37" s="160">
        <f>IF((AY6+AZ6+BA6+BB6+BC6+BD6+BE6+BF6+BG6+BH6+BI6+BJ6)=0,0,(AY36+AZ36+BA36+BB36+BC36+BD36+BE36+BF36+BG36+BH36+BI36+BJ36)/(AY6+AZ6+BA6+BB6+BC6+BD6+BE6+BF6+BG6+BH6+BI6+BJ6))</f>
        <v/>
      </c>
      <c r="BQ37" s="155" t="n"/>
    </row>
    <row r="38" ht="15" customHeight="1" s="104">
      <c r="A38" s="155" t="n"/>
      <c r="B38" s="155" t="n"/>
      <c r="C38" s="155" t="n"/>
      <c r="D38" s="155" t="n"/>
      <c r="E38" s="155" t="n"/>
      <c r="F38" s="155" t="n"/>
      <c r="G38" s="155" t="n"/>
      <c r="H38" s="155" t="n"/>
      <c r="I38" s="155" t="n"/>
      <c r="J38" s="155" t="n"/>
      <c r="K38" s="155" t="n"/>
      <c r="L38" s="155" t="n"/>
      <c r="M38" s="155" t="n"/>
      <c r="N38" s="155" t="n"/>
      <c r="O38" s="155" t="n"/>
      <c r="P38" s="155" t="n"/>
      <c r="Q38" s="155" t="n"/>
      <c r="R38" s="155" t="n"/>
      <c r="S38" s="155" t="n"/>
      <c r="T38" s="155" t="n"/>
      <c r="U38" s="155" t="n"/>
      <c r="V38" s="155" t="n"/>
      <c r="W38" s="155" t="n"/>
      <c r="X38" s="155" t="n"/>
      <c r="Y38" s="155" t="n"/>
      <c r="Z38" s="155" t="n"/>
      <c r="AA38" s="155" t="n"/>
      <c r="AB38" s="155" t="n"/>
      <c r="AC38" s="155" t="n"/>
      <c r="AD38" s="155" t="n"/>
      <c r="AE38" s="155" t="n"/>
      <c r="AF38" s="155" t="n"/>
      <c r="AG38" s="155" t="n"/>
      <c r="AH38" s="155" t="n"/>
      <c r="AI38" s="155" t="n"/>
      <c r="AJ38" s="155" t="n"/>
      <c r="AK38" s="155" t="n"/>
      <c r="AL38" s="155" t="n"/>
      <c r="AM38" s="155" t="n"/>
      <c r="AN38" s="155" t="n"/>
      <c r="AO38" s="155" t="n"/>
      <c r="AP38" s="155" t="n"/>
      <c r="AQ38" s="155" t="n"/>
      <c r="AR38" s="155" t="n"/>
      <c r="AS38" s="155" t="n"/>
      <c r="AT38" s="155" t="n"/>
      <c r="AU38" s="155" t="n"/>
      <c r="AV38" s="155" t="n"/>
      <c r="AW38" s="155" t="n"/>
      <c r="AX38" s="155" t="n"/>
      <c r="AY38" s="155" t="n"/>
      <c r="AZ38" s="155" t="n"/>
      <c r="BA38" s="155" t="n"/>
      <c r="BB38" s="155" t="n"/>
      <c r="BC38" s="155" t="n"/>
      <c r="BD38" s="155" t="n"/>
      <c r="BE38" s="155" t="n"/>
      <c r="BF38" s="155" t="n"/>
      <c r="BG38" s="155" t="n"/>
      <c r="BH38" s="155" t="n"/>
      <c r="BI38" s="155" t="n"/>
      <c r="BJ38" s="155" t="n"/>
      <c r="BK38" s="155" t="n"/>
      <c r="BL38" s="155" t="n"/>
      <c r="BM38" s="155" t="n"/>
      <c r="BN38" s="155" t="n"/>
      <c r="BO38" s="155" t="n"/>
      <c r="BP38" s="155" t="n"/>
      <c r="BQ38" s="155" t="n"/>
    </row>
    <row r="39" ht="15" customHeight="1" s="104">
      <c r="A39" s="155" t="n"/>
      <c r="B39" s="155" t="n"/>
      <c r="C39" s="155" t="n"/>
      <c r="D39" s="155" t="n"/>
      <c r="E39" s="155" t="n"/>
      <c r="F39" s="155" t="n"/>
      <c r="G39" s="155" t="n"/>
      <c r="H39" s="155" t="n"/>
      <c r="I39" s="155" t="n"/>
      <c r="J39" s="155" t="n"/>
      <c r="K39" s="155" t="n"/>
      <c r="L39" s="155" t="n"/>
      <c r="M39" s="155" t="n"/>
      <c r="N39" s="155" t="n"/>
      <c r="O39" s="155" t="n"/>
      <c r="P39" s="155" t="n"/>
      <c r="Q39" s="155" t="n"/>
      <c r="R39" s="155" t="n"/>
      <c r="S39" s="155" t="n"/>
      <c r="T39" s="155" t="n"/>
      <c r="U39" s="155" t="n"/>
      <c r="V39" s="155" t="n"/>
      <c r="W39" s="155" t="n"/>
      <c r="X39" s="155" t="n"/>
      <c r="Y39" s="155" t="n"/>
      <c r="Z39" s="155" t="n"/>
      <c r="AA39" s="155" t="n"/>
      <c r="AB39" s="155" t="n"/>
      <c r="AC39" s="155" t="n"/>
      <c r="AD39" s="155" t="n"/>
      <c r="AE39" s="155" t="n"/>
      <c r="AF39" s="155" t="n"/>
      <c r="AG39" s="155" t="n"/>
      <c r="AH39" s="155" t="n"/>
      <c r="AI39" s="155" t="n"/>
      <c r="AJ39" s="155" t="n"/>
      <c r="AK39" s="155" t="n"/>
      <c r="AL39" s="155" t="n"/>
      <c r="AM39" s="155" t="n"/>
      <c r="AN39" s="155" t="n"/>
      <c r="AO39" s="155" t="n"/>
      <c r="AP39" s="155" t="n"/>
      <c r="AQ39" s="155" t="n"/>
      <c r="AR39" s="155" t="n"/>
      <c r="AS39" s="155" t="n"/>
      <c r="AT39" s="155" t="n"/>
      <c r="AU39" s="155" t="n"/>
      <c r="AV39" s="155" t="n"/>
      <c r="AW39" s="155" t="n"/>
      <c r="AX39" s="155" t="n"/>
      <c r="AY39" s="155" t="n"/>
      <c r="AZ39" s="155" t="n"/>
      <c r="BA39" s="155" t="n"/>
      <c r="BB39" s="155" t="n"/>
      <c r="BC39" s="155" t="n"/>
      <c r="BD39" s="155" t="n"/>
      <c r="BE39" s="155" t="n"/>
      <c r="BF39" s="155" t="n"/>
      <c r="BG39" s="155" t="n"/>
      <c r="BH39" s="155" t="n"/>
      <c r="BI39" s="155" t="n"/>
      <c r="BJ39" s="155" t="n"/>
      <c r="BK39" s="155" t="n"/>
      <c r="BL39" s="155" t="n"/>
      <c r="BM39" s="155" t="n"/>
      <c r="BN39" s="155" t="n"/>
      <c r="BO39" s="155" t="n"/>
      <c r="BP39" s="155" t="n"/>
      <c r="BQ39" s="155" t="n"/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BP42"/>
  <sheetViews>
    <sheetView showFormulas="0" showGridLines="1" showRowColHeaders="1" showZeros="1" rightToLeft="0" tabSelected="0" showOutlineSymbols="1" defaultGridColor="1" view="normal" topLeftCell="A1" colorId="64" zoomScale="80" zoomScaleNormal="80" zoomScalePageLayoutView="100" workbookViewId="0">
      <pane xSplit="2" ySplit="2" topLeftCell="C3" activePane="bottomRight" state="frozen"/>
      <selection pane="topLeft" activeCell="A1" activeCellId="0" sqref="A1"/>
      <selection pane="topRight" activeCell="C1" activeCellId="0" sqref="C1"/>
      <selection pane="bottomLeft" activeCell="A3" activeCellId="0" sqref="A3"/>
      <selection pane="bottomRight" activeCell="E9" activeCellId="0" sqref="E9"/>
    </sheetView>
  </sheetViews>
  <sheetFormatPr baseColWidth="8" defaultColWidth="8.71484375" defaultRowHeight="15" zeroHeight="0" outlineLevelRow="0"/>
  <cols>
    <col width="36" customWidth="1" style="103" min="1" max="1"/>
    <col width="5" customWidth="1" style="103" min="2" max="2"/>
    <col width="9" customWidth="1" style="103" min="3" max="62"/>
    <col width="10" customWidth="1" style="103" min="64" max="68"/>
  </cols>
  <sheetData>
    <row r="1" ht="15.75" customHeight="1" s="104">
      <c r="A1" s="166" t="inlineStr">
        <is>
          <t>Balance Sheet – Monthly ($mm)</t>
        </is>
      </c>
      <c r="B1" s="167" t="n"/>
      <c r="C1" s="167" t="n"/>
      <c r="D1" s="167" t="n"/>
      <c r="E1" s="167" t="n"/>
      <c r="F1" s="167" t="n"/>
      <c r="G1" s="167" t="n"/>
      <c r="H1" s="167" t="n"/>
      <c r="I1" s="167" t="n"/>
      <c r="J1" s="167" t="n"/>
      <c r="K1" s="167" t="n"/>
      <c r="L1" s="167" t="n"/>
      <c r="M1" s="167" t="n"/>
      <c r="N1" s="167" t="n"/>
      <c r="O1" s="167" t="n"/>
      <c r="P1" s="167" t="n"/>
      <c r="Q1" s="167" t="n"/>
      <c r="R1" s="167" t="n"/>
      <c r="S1" s="167" t="n"/>
      <c r="T1" s="167" t="n"/>
      <c r="U1" s="167" t="n"/>
      <c r="V1" s="167" t="n"/>
      <c r="W1" s="167" t="n"/>
      <c r="X1" s="167" t="n"/>
      <c r="Y1" s="167" t="n"/>
      <c r="Z1" s="167" t="n"/>
      <c r="AA1" s="167" t="n"/>
      <c r="AB1" s="167" t="n"/>
      <c r="AC1" s="167" t="n"/>
      <c r="AD1" s="167" t="n"/>
      <c r="AE1" s="167" t="n"/>
      <c r="AF1" s="167" t="n"/>
      <c r="AG1" s="167" t="n"/>
      <c r="AH1" s="167" t="n"/>
      <c r="AI1" s="167" t="n"/>
      <c r="AJ1" s="167" t="n"/>
      <c r="AK1" s="167" t="n"/>
      <c r="AL1" s="167" t="n"/>
      <c r="AM1" s="167" t="n"/>
      <c r="AN1" s="167" t="n"/>
      <c r="AO1" s="167" t="n"/>
      <c r="AP1" s="167" t="n"/>
      <c r="AQ1" s="167" t="n"/>
      <c r="AR1" s="167" t="n"/>
      <c r="AS1" s="167" t="n"/>
      <c r="AT1" s="167" t="n"/>
      <c r="AU1" s="167" t="n"/>
      <c r="AV1" s="167" t="n"/>
      <c r="AW1" s="167" t="n"/>
      <c r="AX1" s="167" t="n"/>
      <c r="AY1" s="167" t="n"/>
      <c r="AZ1" s="167" t="n"/>
      <c r="BA1" s="167" t="n"/>
      <c r="BB1" s="167" t="n"/>
      <c r="BC1" s="167" t="n"/>
      <c r="BD1" s="167" t="n"/>
      <c r="BE1" s="167" t="n"/>
      <c r="BF1" s="167" t="n"/>
      <c r="BG1" s="167" t="n"/>
      <c r="BH1" s="167" t="n"/>
      <c r="BI1" s="167" t="n"/>
      <c r="BJ1" s="167" t="n"/>
      <c r="BK1" s="167" t="n"/>
      <c r="BL1" s="167" t="n"/>
      <c r="BM1" s="167" t="n"/>
      <c r="BN1" s="167" t="n"/>
      <c r="BO1" s="167" t="n"/>
      <c r="BP1" s="167" t="n"/>
    </row>
    <row r="2" ht="13.5" customHeight="1" s="104">
      <c r="A2" s="168" t="inlineStr">
        <is>
          <t>($mm)</t>
        </is>
      </c>
      <c r="C2" s="169" t="n">
        <v>46296</v>
      </c>
      <c r="D2" s="169" t="n">
        <v>46327</v>
      </c>
      <c r="E2" s="169" t="n">
        <v>46357</v>
      </c>
      <c r="F2" s="169" t="n">
        <v>46388</v>
      </c>
      <c r="G2" s="169" t="n">
        <v>46419</v>
      </c>
      <c r="H2" s="169" t="n">
        <v>46447</v>
      </c>
      <c r="I2" s="169" t="n">
        <v>46478</v>
      </c>
      <c r="J2" s="169" t="n">
        <v>46508</v>
      </c>
      <c r="K2" s="169" t="n">
        <v>46539</v>
      </c>
      <c r="L2" s="169" t="n">
        <v>46569</v>
      </c>
      <c r="M2" s="169" t="n">
        <v>46600</v>
      </c>
      <c r="N2" s="169" t="n">
        <v>46631</v>
      </c>
      <c r="O2" s="169" t="n">
        <v>46661</v>
      </c>
      <c r="P2" s="169" t="n">
        <v>46692</v>
      </c>
      <c r="Q2" s="169" t="n">
        <v>46722</v>
      </c>
      <c r="R2" s="169" t="n">
        <v>46753</v>
      </c>
      <c r="S2" s="169" t="n">
        <v>46784</v>
      </c>
      <c r="T2" s="169" t="n">
        <v>46813</v>
      </c>
      <c r="U2" s="169" t="n">
        <v>46844</v>
      </c>
      <c r="V2" s="169" t="n">
        <v>46874</v>
      </c>
      <c r="W2" s="169" t="n">
        <v>46905</v>
      </c>
      <c r="X2" s="169" t="n">
        <v>46935</v>
      </c>
      <c r="Y2" s="169" t="n">
        <v>46966</v>
      </c>
      <c r="Z2" s="169" t="n">
        <v>46997</v>
      </c>
      <c r="AA2" s="169" t="n">
        <v>47027</v>
      </c>
      <c r="AB2" s="169" t="n">
        <v>47058</v>
      </c>
      <c r="AC2" s="169" t="n">
        <v>47088</v>
      </c>
      <c r="AD2" s="169" t="n">
        <v>47119</v>
      </c>
      <c r="AE2" s="169" t="n">
        <v>47150</v>
      </c>
      <c r="AF2" s="169" t="n">
        <v>47178</v>
      </c>
      <c r="AG2" s="169" t="n">
        <v>47209</v>
      </c>
      <c r="AH2" s="169" t="n">
        <v>47239</v>
      </c>
      <c r="AI2" s="169" t="n">
        <v>47270</v>
      </c>
      <c r="AJ2" s="169" t="n">
        <v>47300</v>
      </c>
      <c r="AK2" s="169" t="n">
        <v>47331</v>
      </c>
      <c r="AL2" s="169" t="n">
        <v>47362</v>
      </c>
      <c r="AM2" s="169" t="n">
        <v>47392</v>
      </c>
      <c r="AN2" s="169" t="n">
        <v>47423</v>
      </c>
      <c r="AO2" s="169" t="n">
        <v>47453</v>
      </c>
      <c r="AP2" s="169" t="n">
        <v>47484</v>
      </c>
      <c r="AQ2" s="169" t="n">
        <v>47515</v>
      </c>
      <c r="AR2" s="169" t="n">
        <v>47543</v>
      </c>
      <c r="AS2" s="169" t="n">
        <v>47574</v>
      </c>
      <c r="AT2" s="169" t="n">
        <v>47604</v>
      </c>
      <c r="AU2" s="169" t="n">
        <v>47635</v>
      </c>
      <c r="AV2" s="169" t="n">
        <v>47665</v>
      </c>
      <c r="AW2" s="169" t="n">
        <v>47696</v>
      </c>
      <c r="AX2" s="169" t="n">
        <v>47727</v>
      </c>
      <c r="AY2" s="169" t="n">
        <v>47757</v>
      </c>
      <c r="AZ2" s="169" t="n">
        <v>47788</v>
      </c>
      <c r="BA2" s="169" t="n">
        <v>47818</v>
      </c>
      <c r="BB2" s="169" t="n">
        <v>47849</v>
      </c>
      <c r="BC2" s="169" t="n">
        <v>47880</v>
      </c>
      <c r="BD2" s="169" t="n">
        <v>47908</v>
      </c>
      <c r="BE2" s="169" t="n">
        <v>47939</v>
      </c>
      <c r="BF2" s="169" t="n">
        <v>47969</v>
      </c>
      <c r="BG2" s="169" t="n">
        <v>48000</v>
      </c>
      <c r="BH2" s="169" t="n">
        <v>48030</v>
      </c>
      <c r="BI2" s="169" t="n">
        <v>48061</v>
      </c>
      <c r="BJ2" s="169" t="n">
        <v>48092</v>
      </c>
      <c r="BL2" s="170" t="inlineStr">
        <is>
          <t>FY 1</t>
        </is>
      </c>
      <c r="BM2" s="170" t="inlineStr">
        <is>
          <t>FY 2</t>
        </is>
      </c>
      <c r="BN2" s="170" t="inlineStr">
        <is>
          <t>FY 3</t>
        </is>
      </c>
      <c r="BO2" s="170" t="inlineStr">
        <is>
          <t>FY 4</t>
        </is>
      </c>
      <c r="BP2" s="170" t="inlineStr">
        <is>
          <t>FY 5</t>
        </is>
      </c>
    </row>
    <row r="4" ht="13.5" customHeight="1" s="104">
      <c r="A4" s="106" t="inlineStr">
        <is>
          <t>ASSETS</t>
        </is>
      </c>
      <c r="B4" s="171" t="n"/>
      <c r="C4" s="171" t="n"/>
      <c r="D4" s="171" t="n"/>
      <c r="E4" s="171" t="n"/>
      <c r="F4" s="171" t="n"/>
      <c r="G4" s="171" t="n"/>
      <c r="H4" s="171" t="n"/>
      <c r="I4" s="171" t="n"/>
      <c r="J4" s="171" t="n"/>
      <c r="K4" s="171" t="n"/>
      <c r="L4" s="171" t="n"/>
      <c r="M4" s="171" t="n"/>
      <c r="N4" s="171" t="n"/>
      <c r="O4" s="171" t="n"/>
      <c r="P4" s="171" t="n"/>
      <c r="Q4" s="171" t="n"/>
      <c r="R4" s="171" t="n"/>
      <c r="S4" s="171" t="n"/>
      <c r="T4" s="171" t="n"/>
      <c r="U4" s="171" t="n"/>
      <c r="V4" s="171" t="n"/>
      <c r="W4" s="171" t="n"/>
      <c r="X4" s="171" t="n"/>
      <c r="Y4" s="171" t="n"/>
      <c r="Z4" s="171" t="n"/>
      <c r="AA4" s="171" t="n"/>
      <c r="AB4" s="171" t="n"/>
      <c r="AC4" s="171" t="n"/>
      <c r="AD4" s="171" t="n"/>
      <c r="AE4" s="171" t="n"/>
      <c r="AF4" s="171" t="n"/>
      <c r="AG4" s="171" t="n"/>
      <c r="AH4" s="171" t="n"/>
      <c r="AI4" s="171" t="n"/>
      <c r="AJ4" s="171" t="n"/>
      <c r="AK4" s="171" t="n"/>
      <c r="AL4" s="171" t="n"/>
      <c r="AM4" s="171" t="n"/>
      <c r="AN4" s="171" t="n"/>
      <c r="AO4" s="171" t="n"/>
      <c r="AP4" s="171" t="n"/>
      <c r="AQ4" s="171" t="n"/>
      <c r="AR4" s="171" t="n"/>
      <c r="AS4" s="171" t="n"/>
      <c r="AT4" s="171" t="n"/>
      <c r="AU4" s="171" t="n"/>
      <c r="AV4" s="171" t="n"/>
      <c r="AW4" s="171" t="n"/>
      <c r="AX4" s="171" t="n"/>
      <c r="AY4" s="171" t="n"/>
      <c r="AZ4" s="171" t="n"/>
      <c r="BA4" s="171" t="n"/>
      <c r="BB4" s="171" t="n"/>
      <c r="BC4" s="171" t="n"/>
      <c r="BD4" s="171" t="n"/>
      <c r="BE4" s="171" t="n"/>
      <c r="BF4" s="171" t="n"/>
      <c r="BG4" s="171" t="n"/>
      <c r="BH4" s="171" t="n"/>
      <c r="BI4" s="171" t="n"/>
      <c r="BJ4" s="171" t="n"/>
      <c r="BK4" s="171" t="n"/>
      <c r="BL4" s="171" t="n"/>
      <c r="BM4" s="171" t="n"/>
      <c r="BN4" s="171" t="n"/>
      <c r="BO4" s="171" t="n"/>
      <c r="BP4" s="171" t="n"/>
    </row>
    <row r="5" ht="15" customHeight="1" s="104">
      <c r="A5" s="153" t="inlineStr">
        <is>
          <t>Current Assets</t>
        </is>
      </c>
      <c r="B5" s="172" t="n"/>
      <c r="C5" s="172" t="n"/>
      <c r="D5" s="172" t="n"/>
      <c r="E5" s="172" t="n"/>
      <c r="F5" s="172" t="n"/>
      <c r="G5" s="172" t="n"/>
      <c r="H5" s="172" t="n"/>
      <c r="I5" s="172" t="n"/>
      <c r="J5" s="172" t="n"/>
      <c r="K5" s="172" t="n"/>
      <c r="L5" s="172" t="n"/>
      <c r="M5" s="172" t="n"/>
      <c r="N5" s="172" t="n"/>
      <c r="O5" s="172" t="n"/>
      <c r="P5" s="172" t="n"/>
      <c r="Q5" s="172" t="n"/>
      <c r="R5" s="172" t="n"/>
      <c r="S5" s="172" t="n"/>
      <c r="T5" s="172" t="n"/>
      <c r="U5" s="172" t="n"/>
      <c r="V5" s="172" t="n"/>
      <c r="W5" s="172" t="n"/>
      <c r="X5" s="172" t="n"/>
      <c r="Y5" s="172" t="n"/>
      <c r="Z5" s="172" t="n"/>
      <c r="AA5" s="172" t="n"/>
      <c r="AB5" s="172" t="n"/>
      <c r="AC5" s="172" t="n"/>
      <c r="AD5" s="172" t="n"/>
      <c r="AE5" s="172" t="n"/>
      <c r="AF5" s="172" t="n"/>
      <c r="AG5" s="172" t="n"/>
      <c r="AH5" s="172" t="n"/>
      <c r="AI5" s="172" t="n"/>
      <c r="AJ5" s="172" t="n"/>
      <c r="AK5" s="172" t="n"/>
      <c r="AL5" s="172" t="n"/>
      <c r="AM5" s="172" t="n"/>
      <c r="AN5" s="172" t="n"/>
      <c r="AO5" s="172" t="n"/>
      <c r="AP5" s="172" t="n"/>
      <c r="AQ5" s="172" t="n"/>
      <c r="AR5" s="172" t="n"/>
      <c r="AS5" s="172" t="n"/>
      <c r="AT5" s="172" t="n"/>
      <c r="AU5" s="172" t="n"/>
      <c r="AV5" s="172" t="n"/>
      <c r="AW5" s="172" t="n"/>
      <c r="AX5" s="172" t="n"/>
      <c r="AY5" s="172" t="n"/>
      <c r="AZ5" s="172" t="n"/>
      <c r="BA5" s="172" t="n"/>
      <c r="BB5" s="172" t="n"/>
      <c r="BC5" s="172" t="n"/>
      <c r="BD5" s="172" t="n"/>
      <c r="BE5" s="172" t="n"/>
      <c r="BF5" s="172" t="n"/>
      <c r="BG5" s="172" t="n"/>
      <c r="BH5" s="172" t="n"/>
      <c r="BI5" s="172" t="n"/>
      <c r="BJ5" s="172" t="n"/>
      <c r="BK5" s="172" t="n"/>
      <c r="BL5" s="172" t="n"/>
      <c r="BM5" s="172" t="n"/>
      <c r="BN5" s="172" t="n"/>
      <c r="BO5" s="172" t="n"/>
      <c r="BP5" s="172" t="n"/>
    </row>
    <row r="6" ht="15" customHeight="1" s="104">
      <c r="A6" s="107" t="inlineStr">
        <is>
          <t xml:space="preserve">    Cash &amp; Cash Equivalents</t>
        </is>
      </c>
      <c r="C6" s="156">
        <f>'Cash Flow Statement'!C53</f>
        <v/>
      </c>
      <c r="D6" s="156">
        <f>'Cash Flow Statement'!D53</f>
        <v/>
      </c>
      <c r="E6" s="156">
        <f>'Cash Flow Statement'!E53</f>
        <v/>
      </c>
      <c r="F6" s="156">
        <f>'Cash Flow Statement'!F53</f>
        <v/>
      </c>
      <c r="G6" s="156">
        <f>'Cash Flow Statement'!G53</f>
        <v/>
      </c>
      <c r="H6" s="156">
        <f>'Cash Flow Statement'!H53</f>
        <v/>
      </c>
      <c r="I6" s="156">
        <f>'Cash Flow Statement'!I53</f>
        <v/>
      </c>
      <c r="J6" s="156">
        <f>'Cash Flow Statement'!J53</f>
        <v/>
      </c>
      <c r="K6" s="156">
        <f>'Cash Flow Statement'!K53</f>
        <v/>
      </c>
      <c r="L6" s="156">
        <f>'Cash Flow Statement'!L53</f>
        <v/>
      </c>
      <c r="M6" s="156">
        <f>'Cash Flow Statement'!M53</f>
        <v/>
      </c>
      <c r="N6" s="156">
        <f>'Cash Flow Statement'!N53</f>
        <v/>
      </c>
      <c r="O6" s="156">
        <f>'Cash Flow Statement'!O53</f>
        <v/>
      </c>
      <c r="P6" s="156">
        <f>'Cash Flow Statement'!P53</f>
        <v/>
      </c>
      <c r="Q6" s="156">
        <f>'Cash Flow Statement'!Q53</f>
        <v/>
      </c>
      <c r="R6" s="156">
        <f>'Cash Flow Statement'!R53</f>
        <v/>
      </c>
      <c r="S6" s="156">
        <f>'Cash Flow Statement'!S53</f>
        <v/>
      </c>
      <c r="T6" s="156">
        <f>'Cash Flow Statement'!T53</f>
        <v/>
      </c>
      <c r="U6" s="156">
        <f>'Cash Flow Statement'!U53</f>
        <v/>
      </c>
      <c r="V6" s="156">
        <f>'Cash Flow Statement'!V53</f>
        <v/>
      </c>
      <c r="W6" s="156">
        <f>'Cash Flow Statement'!W53</f>
        <v/>
      </c>
      <c r="X6" s="156">
        <f>'Cash Flow Statement'!X53</f>
        <v/>
      </c>
      <c r="Y6" s="156">
        <f>'Cash Flow Statement'!Y53</f>
        <v/>
      </c>
      <c r="Z6" s="156">
        <f>'Cash Flow Statement'!Z53</f>
        <v/>
      </c>
      <c r="AA6" s="156">
        <f>'Cash Flow Statement'!AA53</f>
        <v/>
      </c>
      <c r="AB6" s="156">
        <f>'Cash Flow Statement'!AB53</f>
        <v/>
      </c>
      <c r="AC6" s="156">
        <f>'Cash Flow Statement'!AC53</f>
        <v/>
      </c>
      <c r="AD6" s="156">
        <f>'Cash Flow Statement'!AD53</f>
        <v/>
      </c>
      <c r="AE6" s="156">
        <f>'Cash Flow Statement'!AE53</f>
        <v/>
      </c>
      <c r="AF6" s="156">
        <f>'Cash Flow Statement'!AF53</f>
        <v/>
      </c>
      <c r="AG6" s="156">
        <f>'Cash Flow Statement'!AG53</f>
        <v/>
      </c>
      <c r="AH6" s="156">
        <f>'Cash Flow Statement'!AH53</f>
        <v/>
      </c>
      <c r="AI6" s="156">
        <f>'Cash Flow Statement'!AI53</f>
        <v/>
      </c>
      <c r="AJ6" s="156">
        <f>'Cash Flow Statement'!AJ53</f>
        <v/>
      </c>
      <c r="AK6" s="156">
        <f>'Cash Flow Statement'!AK53</f>
        <v/>
      </c>
      <c r="AL6" s="156">
        <f>'Cash Flow Statement'!AL53</f>
        <v/>
      </c>
      <c r="AM6" s="156">
        <f>'Cash Flow Statement'!AM53</f>
        <v/>
      </c>
      <c r="AN6" s="156">
        <f>'Cash Flow Statement'!AN53</f>
        <v/>
      </c>
      <c r="AO6" s="156">
        <f>'Cash Flow Statement'!AO53</f>
        <v/>
      </c>
      <c r="AP6" s="156">
        <f>'Cash Flow Statement'!AP53</f>
        <v/>
      </c>
      <c r="AQ6" s="156">
        <f>'Cash Flow Statement'!AQ53</f>
        <v/>
      </c>
      <c r="AR6" s="156">
        <f>'Cash Flow Statement'!AR53</f>
        <v/>
      </c>
      <c r="AS6" s="156">
        <f>'Cash Flow Statement'!AS53</f>
        <v/>
      </c>
      <c r="AT6" s="156">
        <f>'Cash Flow Statement'!AT53</f>
        <v/>
      </c>
      <c r="AU6" s="156">
        <f>'Cash Flow Statement'!AU53</f>
        <v/>
      </c>
      <c r="AV6" s="156">
        <f>'Cash Flow Statement'!AV53</f>
        <v/>
      </c>
      <c r="AW6" s="156">
        <f>'Cash Flow Statement'!AW53</f>
        <v/>
      </c>
      <c r="AX6" s="156">
        <f>'Cash Flow Statement'!AX53</f>
        <v/>
      </c>
      <c r="AY6" s="156">
        <f>'Cash Flow Statement'!AY53</f>
        <v/>
      </c>
      <c r="AZ6" s="156">
        <f>'Cash Flow Statement'!AZ53</f>
        <v/>
      </c>
      <c r="BA6" s="156">
        <f>'Cash Flow Statement'!BA53</f>
        <v/>
      </c>
      <c r="BB6" s="156">
        <f>'Cash Flow Statement'!BB53</f>
        <v/>
      </c>
      <c r="BC6" s="156">
        <f>'Cash Flow Statement'!BC53</f>
        <v/>
      </c>
      <c r="BD6" s="156">
        <f>'Cash Flow Statement'!BD53</f>
        <v/>
      </c>
      <c r="BE6" s="156">
        <f>'Cash Flow Statement'!BE53</f>
        <v/>
      </c>
      <c r="BF6" s="156">
        <f>'Cash Flow Statement'!BF53</f>
        <v/>
      </c>
      <c r="BG6" s="156">
        <f>'Cash Flow Statement'!BG53</f>
        <v/>
      </c>
      <c r="BH6" s="156">
        <f>'Cash Flow Statement'!BH53</f>
        <v/>
      </c>
      <c r="BI6" s="156">
        <f>'Cash Flow Statement'!BI53</f>
        <v/>
      </c>
      <c r="BJ6" s="156">
        <f>'Cash Flow Statement'!BJ53</f>
        <v/>
      </c>
      <c r="BL6" s="157">
        <f>N6</f>
        <v/>
      </c>
      <c r="BM6" s="157">
        <f>Z6</f>
        <v/>
      </c>
      <c r="BN6" s="157">
        <f>AL6</f>
        <v/>
      </c>
      <c r="BO6" s="157">
        <f>AX6</f>
        <v/>
      </c>
      <c r="BP6" s="157">
        <f>BJ6</f>
        <v/>
      </c>
    </row>
    <row r="7" ht="15" customHeight="1" s="104">
      <c r="A7" s="107" t="inlineStr">
        <is>
          <t xml:space="preserve">    Accounts Receivable</t>
        </is>
      </c>
      <c r="C7" s="156">
        <f>'Working Capital'!C6</f>
        <v/>
      </c>
      <c r="D7" s="156">
        <f>'Working Capital'!D6</f>
        <v/>
      </c>
      <c r="E7" s="156">
        <f>'Working Capital'!E6</f>
        <v/>
      </c>
      <c r="F7" s="156">
        <f>'Working Capital'!F6</f>
        <v/>
      </c>
      <c r="G7" s="156">
        <f>'Working Capital'!G6</f>
        <v/>
      </c>
      <c r="H7" s="156">
        <f>'Working Capital'!H6</f>
        <v/>
      </c>
      <c r="I7" s="156">
        <f>'Working Capital'!I6</f>
        <v/>
      </c>
      <c r="J7" s="156">
        <f>'Working Capital'!J6</f>
        <v/>
      </c>
      <c r="K7" s="156">
        <f>'Working Capital'!K6</f>
        <v/>
      </c>
      <c r="L7" s="156">
        <f>'Working Capital'!L6</f>
        <v/>
      </c>
      <c r="M7" s="156">
        <f>'Working Capital'!M6</f>
        <v/>
      </c>
      <c r="N7" s="156">
        <f>'Working Capital'!N6</f>
        <v/>
      </c>
      <c r="O7" s="156">
        <f>'Working Capital'!O6</f>
        <v/>
      </c>
      <c r="P7" s="156">
        <f>'Working Capital'!P6</f>
        <v/>
      </c>
      <c r="Q7" s="156">
        <f>'Working Capital'!Q6</f>
        <v/>
      </c>
      <c r="R7" s="156">
        <f>'Working Capital'!R6</f>
        <v/>
      </c>
      <c r="S7" s="156">
        <f>'Working Capital'!S6</f>
        <v/>
      </c>
      <c r="T7" s="156">
        <f>'Working Capital'!T6</f>
        <v/>
      </c>
      <c r="U7" s="156">
        <f>'Working Capital'!U6</f>
        <v/>
      </c>
      <c r="V7" s="156">
        <f>'Working Capital'!V6</f>
        <v/>
      </c>
      <c r="W7" s="156">
        <f>'Working Capital'!W6</f>
        <v/>
      </c>
      <c r="X7" s="156">
        <f>'Working Capital'!X6</f>
        <v/>
      </c>
      <c r="Y7" s="156">
        <f>'Working Capital'!Y6</f>
        <v/>
      </c>
      <c r="Z7" s="156">
        <f>'Working Capital'!Z6</f>
        <v/>
      </c>
      <c r="AA7" s="156">
        <f>'Working Capital'!AA6</f>
        <v/>
      </c>
      <c r="AB7" s="156">
        <f>'Working Capital'!AB6</f>
        <v/>
      </c>
      <c r="AC7" s="156">
        <f>'Working Capital'!AC6</f>
        <v/>
      </c>
      <c r="AD7" s="156">
        <f>'Working Capital'!AD6</f>
        <v/>
      </c>
      <c r="AE7" s="156">
        <f>'Working Capital'!AE6</f>
        <v/>
      </c>
      <c r="AF7" s="156">
        <f>'Working Capital'!AF6</f>
        <v/>
      </c>
      <c r="AG7" s="156">
        <f>'Working Capital'!AG6</f>
        <v/>
      </c>
      <c r="AH7" s="156">
        <f>'Working Capital'!AH6</f>
        <v/>
      </c>
      <c r="AI7" s="156">
        <f>'Working Capital'!AI6</f>
        <v/>
      </c>
      <c r="AJ7" s="156">
        <f>'Working Capital'!AJ6</f>
        <v/>
      </c>
      <c r="AK7" s="156">
        <f>'Working Capital'!AK6</f>
        <v/>
      </c>
      <c r="AL7" s="156">
        <f>'Working Capital'!AL6</f>
        <v/>
      </c>
      <c r="AM7" s="156">
        <f>'Working Capital'!AM6</f>
        <v/>
      </c>
      <c r="AN7" s="156">
        <f>'Working Capital'!AN6</f>
        <v/>
      </c>
      <c r="AO7" s="156">
        <f>'Working Capital'!AO6</f>
        <v/>
      </c>
      <c r="AP7" s="156">
        <f>'Working Capital'!AP6</f>
        <v/>
      </c>
      <c r="AQ7" s="156">
        <f>'Working Capital'!AQ6</f>
        <v/>
      </c>
      <c r="AR7" s="156">
        <f>'Working Capital'!AR6</f>
        <v/>
      </c>
      <c r="AS7" s="156">
        <f>'Working Capital'!AS6</f>
        <v/>
      </c>
      <c r="AT7" s="156">
        <f>'Working Capital'!AT6</f>
        <v/>
      </c>
      <c r="AU7" s="156">
        <f>'Working Capital'!AU6</f>
        <v/>
      </c>
      <c r="AV7" s="156">
        <f>'Working Capital'!AV6</f>
        <v/>
      </c>
      <c r="AW7" s="156">
        <f>'Working Capital'!AW6</f>
        <v/>
      </c>
      <c r="AX7" s="156">
        <f>'Working Capital'!AX6</f>
        <v/>
      </c>
      <c r="AY7" s="156">
        <f>'Working Capital'!AY6</f>
        <v/>
      </c>
      <c r="AZ7" s="156">
        <f>'Working Capital'!AZ6</f>
        <v/>
      </c>
      <c r="BA7" s="156">
        <f>'Working Capital'!BA6</f>
        <v/>
      </c>
      <c r="BB7" s="156">
        <f>'Working Capital'!BB6</f>
        <v/>
      </c>
      <c r="BC7" s="156">
        <f>'Working Capital'!BC6</f>
        <v/>
      </c>
      <c r="BD7" s="156">
        <f>'Working Capital'!BD6</f>
        <v/>
      </c>
      <c r="BE7" s="156">
        <f>'Working Capital'!BE6</f>
        <v/>
      </c>
      <c r="BF7" s="156">
        <f>'Working Capital'!BF6</f>
        <v/>
      </c>
      <c r="BG7" s="156">
        <f>'Working Capital'!BG6</f>
        <v/>
      </c>
      <c r="BH7" s="156">
        <f>'Working Capital'!BH6</f>
        <v/>
      </c>
      <c r="BI7" s="156">
        <f>'Working Capital'!BI6</f>
        <v/>
      </c>
      <c r="BJ7" s="156">
        <f>'Working Capital'!BJ6</f>
        <v/>
      </c>
      <c r="BL7" s="157">
        <f>N7</f>
        <v/>
      </c>
      <c r="BM7" s="157">
        <f>Z7</f>
        <v/>
      </c>
      <c r="BN7" s="157">
        <f>AL7</f>
        <v/>
      </c>
      <c r="BO7" s="157">
        <f>AX7</f>
        <v/>
      </c>
      <c r="BP7" s="157">
        <f>BJ7</f>
        <v/>
      </c>
    </row>
    <row r="8" ht="15" customHeight="1" s="104">
      <c r="A8" s="107" t="inlineStr">
        <is>
          <t xml:space="preserve">    Prepaid Assets</t>
        </is>
      </c>
      <c r="C8" s="156">
        <f>'Working Capital'!C8</f>
        <v/>
      </c>
      <c r="D8" s="156">
        <f>'Working Capital'!D8</f>
        <v/>
      </c>
      <c r="E8" s="156">
        <f>'Working Capital'!E8</f>
        <v/>
      </c>
      <c r="F8" s="156">
        <f>'Working Capital'!F8</f>
        <v/>
      </c>
      <c r="G8" s="156">
        <f>'Working Capital'!G8</f>
        <v/>
      </c>
      <c r="H8" s="156">
        <f>'Working Capital'!H8</f>
        <v/>
      </c>
      <c r="I8" s="156">
        <f>'Working Capital'!I8</f>
        <v/>
      </c>
      <c r="J8" s="156">
        <f>'Working Capital'!J8</f>
        <v/>
      </c>
      <c r="K8" s="156">
        <f>'Working Capital'!K8</f>
        <v/>
      </c>
      <c r="L8" s="156">
        <f>'Working Capital'!L8</f>
        <v/>
      </c>
      <c r="M8" s="156">
        <f>'Working Capital'!M8</f>
        <v/>
      </c>
      <c r="N8" s="156">
        <f>'Working Capital'!N8</f>
        <v/>
      </c>
      <c r="O8" s="156">
        <f>'Working Capital'!O8</f>
        <v/>
      </c>
      <c r="P8" s="156">
        <f>'Working Capital'!P8</f>
        <v/>
      </c>
      <c r="Q8" s="156">
        <f>'Working Capital'!Q8</f>
        <v/>
      </c>
      <c r="R8" s="156">
        <f>'Working Capital'!R8</f>
        <v/>
      </c>
      <c r="S8" s="156">
        <f>'Working Capital'!S8</f>
        <v/>
      </c>
      <c r="T8" s="156">
        <f>'Working Capital'!T8</f>
        <v/>
      </c>
      <c r="U8" s="156">
        <f>'Working Capital'!U8</f>
        <v/>
      </c>
      <c r="V8" s="156">
        <f>'Working Capital'!V8</f>
        <v/>
      </c>
      <c r="W8" s="156">
        <f>'Working Capital'!W8</f>
        <v/>
      </c>
      <c r="X8" s="156">
        <f>'Working Capital'!X8</f>
        <v/>
      </c>
      <c r="Y8" s="156">
        <f>'Working Capital'!Y8</f>
        <v/>
      </c>
      <c r="Z8" s="156">
        <f>'Working Capital'!Z8</f>
        <v/>
      </c>
      <c r="AA8" s="156">
        <f>'Working Capital'!AA8</f>
        <v/>
      </c>
      <c r="AB8" s="156">
        <f>'Working Capital'!AB8</f>
        <v/>
      </c>
      <c r="AC8" s="156">
        <f>'Working Capital'!AC8</f>
        <v/>
      </c>
      <c r="AD8" s="156">
        <f>'Working Capital'!AD8</f>
        <v/>
      </c>
      <c r="AE8" s="156">
        <f>'Working Capital'!AE8</f>
        <v/>
      </c>
      <c r="AF8" s="156">
        <f>'Working Capital'!AF8</f>
        <v/>
      </c>
      <c r="AG8" s="156">
        <f>'Working Capital'!AG8</f>
        <v/>
      </c>
      <c r="AH8" s="156">
        <f>'Working Capital'!AH8</f>
        <v/>
      </c>
      <c r="AI8" s="156">
        <f>'Working Capital'!AI8</f>
        <v/>
      </c>
      <c r="AJ8" s="156">
        <f>'Working Capital'!AJ8</f>
        <v/>
      </c>
      <c r="AK8" s="156">
        <f>'Working Capital'!AK8</f>
        <v/>
      </c>
      <c r="AL8" s="156">
        <f>'Working Capital'!AL8</f>
        <v/>
      </c>
      <c r="AM8" s="156">
        <f>'Working Capital'!AM8</f>
        <v/>
      </c>
      <c r="AN8" s="156">
        <f>'Working Capital'!AN8</f>
        <v/>
      </c>
      <c r="AO8" s="156">
        <f>'Working Capital'!AO8</f>
        <v/>
      </c>
      <c r="AP8" s="156">
        <f>'Working Capital'!AP8</f>
        <v/>
      </c>
      <c r="AQ8" s="156">
        <f>'Working Capital'!AQ8</f>
        <v/>
      </c>
      <c r="AR8" s="156">
        <f>'Working Capital'!AR8</f>
        <v/>
      </c>
      <c r="AS8" s="156">
        <f>'Working Capital'!AS8</f>
        <v/>
      </c>
      <c r="AT8" s="156">
        <f>'Working Capital'!AT8</f>
        <v/>
      </c>
      <c r="AU8" s="156">
        <f>'Working Capital'!AU8</f>
        <v/>
      </c>
      <c r="AV8" s="156">
        <f>'Working Capital'!AV8</f>
        <v/>
      </c>
      <c r="AW8" s="156">
        <f>'Working Capital'!AW8</f>
        <v/>
      </c>
      <c r="AX8" s="156">
        <f>'Working Capital'!AX8</f>
        <v/>
      </c>
      <c r="AY8" s="156">
        <f>'Working Capital'!AY8</f>
        <v/>
      </c>
      <c r="AZ8" s="156">
        <f>'Working Capital'!AZ8</f>
        <v/>
      </c>
      <c r="BA8" s="156">
        <f>'Working Capital'!BA8</f>
        <v/>
      </c>
      <c r="BB8" s="156">
        <f>'Working Capital'!BB8</f>
        <v/>
      </c>
      <c r="BC8" s="156">
        <f>'Working Capital'!BC8</f>
        <v/>
      </c>
      <c r="BD8" s="156">
        <f>'Working Capital'!BD8</f>
        <v/>
      </c>
      <c r="BE8" s="156">
        <f>'Working Capital'!BE8</f>
        <v/>
      </c>
      <c r="BF8" s="156">
        <f>'Working Capital'!BF8</f>
        <v/>
      </c>
      <c r="BG8" s="156">
        <f>'Working Capital'!BG8</f>
        <v/>
      </c>
      <c r="BH8" s="156">
        <f>'Working Capital'!BH8</f>
        <v/>
      </c>
      <c r="BI8" s="156">
        <f>'Working Capital'!BI8</f>
        <v/>
      </c>
      <c r="BJ8" s="156">
        <f>'Working Capital'!BJ8</f>
        <v/>
      </c>
      <c r="BL8" s="157">
        <f>N8</f>
        <v/>
      </c>
      <c r="BM8" s="157">
        <f>Z8</f>
        <v/>
      </c>
      <c r="BN8" s="157">
        <f>AL8</f>
        <v/>
      </c>
      <c r="BO8" s="157">
        <f>AX8</f>
        <v/>
      </c>
      <c r="BP8" s="157">
        <f>BJ8</f>
        <v/>
      </c>
    </row>
    <row r="9" ht="15" customHeight="1" s="104">
      <c r="A9" s="116" t="inlineStr">
        <is>
          <t>Total Current Assets</t>
        </is>
      </c>
      <c r="C9" s="152">
        <f>C6+C7+C8</f>
        <v/>
      </c>
      <c r="D9" s="152">
        <f>D6+D7+D8</f>
        <v/>
      </c>
      <c r="E9" s="152">
        <f>E6+E7+E8</f>
        <v/>
      </c>
      <c r="F9" s="152">
        <f>F6+F7+F8</f>
        <v/>
      </c>
      <c r="G9" s="152">
        <f>G6+G7+G8</f>
        <v/>
      </c>
      <c r="H9" s="152">
        <f>H6+H7+H8</f>
        <v/>
      </c>
      <c r="I9" s="152">
        <f>I6+I7+I8</f>
        <v/>
      </c>
      <c r="J9" s="152">
        <f>J6+J7+J8</f>
        <v/>
      </c>
      <c r="K9" s="152">
        <f>K6+K7+K8</f>
        <v/>
      </c>
      <c r="L9" s="152">
        <f>L6+L7+L8</f>
        <v/>
      </c>
      <c r="M9" s="152">
        <f>M6+M7+M8</f>
        <v/>
      </c>
      <c r="N9" s="152">
        <f>N6+N7+N8</f>
        <v/>
      </c>
      <c r="O9" s="152">
        <f>O6+O7+O8</f>
        <v/>
      </c>
      <c r="P9" s="152">
        <f>P6+P7+P8</f>
        <v/>
      </c>
      <c r="Q9" s="152">
        <f>Q6+Q7+Q8</f>
        <v/>
      </c>
      <c r="R9" s="152">
        <f>R6+R7+R8</f>
        <v/>
      </c>
      <c r="S9" s="152">
        <f>S6+S7+S8</f>
        <v/>
      </c>
      <c r="T9" s="152">
        <f>T6+T7+T8</f>
        <v/>
      </c>
      <c r="U9" s="152">
        <f>U6+U7+U8</f>
        <v/>
      </c>
      <c r="V9" s="152">
        <f>V6+V7+V8</f>
        <v/>
      </c>
      <c r="W9" s="152">
        <f>W6+W7+W8</f>
        <v/>
      </c>
      <c r="X9" s="152">
        <f>X6+X7+X8</f>
        <v/>
      </c>
      <c r="Y9" s="152">
        <f>Y6+Y7+Y8</f>
        <v/>
      </c>
      <c r="Z9" s="152">
        <f>Z6+Z7+Z8</f>
        <v/>
      </c>
      <c r="AA9" s="152">
        <f>AA6+AA7+AA8</f>
        <v/>
      </c>
      <c r="AB9" s="152">
        <f>AB6+AB7+AB8</f>
        <v/>
      </c>
      <c r="AC9" s="152">
        <f>AC6+AC7+AC8</f>
        <v/>
      </c>
      <c r="AD9" s="152">
        <f>AD6+AD7+AD8</f>
        <v/>
      </c>
      <c r="AE9" s="152">
        <f>AE6+AE7+AE8</f>
        <v/>
      </c>
      <c r="AF9" s="152">
        <f>AF6+AF7+AF8</f>
        <v/>
      </c>
      <c r="AG9" s="152">
        <f>AG6+AG7+AG8</f>
        <v/>
      </c>
      <c r="AH9" s="152">
        <f>AH6+AH7+AH8</f>
        <v/>
      </c>
      <c r="AI9" s="152">
        <f>AI6+AI7+AI8</f>
        <v/>
      </c>
      <c r="AJ9" s="152">
        <f>AJ6+AJ7+AJ8</f>
        <v/>
      </c>
      <c r="AK9" s="152">
        <f>AK6+AK7+AK8</f>
        <v/>
      </c>
      <c r="AL9" s="152">
        <f>AL6+AL7+AL8</f>
        <v/>
      </c>
      <c r="AM9" s="152">
        <f>AM6+AM7+AM8</f>
        <v/>
      </c>
      <c r="AN9" s="152">
        <f>AN6+AN7+AN8</f>
        <v/>
      </c>
      <c r="AO9" s="152">
        <f>AO6+AO7+AO8</f>
        <v/>
      </c>
      <c r="AP9" s="152">
        <f>AP6+AP7+AP8</f>
        <v/>
      </c>
      <c r="AQ9" s="152">
        <f>AQ6+AQ7+AQ8</f>
        <v/>
      </c>
      <c r="AR9" s="152">
        <f>AR6+AR7+AR8</f>
        <v/>
      </c>
      <c r="AS9" s="152">
        <f>AS6+AS7+AS8</f>
        <v/>
      </c>
      <c r="AT9" s="152">
        <f>AT6+AT7+AT8</f>
        <v/>
      </c>
      <c r="AU9" s="152">
        <f>AU6+AU7+AU8</f>
        <v/>
      </c>
      <c r="AV9" s="152">
        <f>AV6+AV7+AV8</f>
        <v/>
      </c>
      <c r="AW9" s="152">
        <f>AW6+AW7+AW8</f>
        <v/>
      </c>
      <c r="AX9" s="152">
        <f>AX6+AX7+AX8</f>
        <v/>
      </c>
      <c r="AY9" s="152">
        <f>AY6+AY7+AY8</f>
        <v/>
      </c>
      <c r="AZ9" s="152">
        <f>AZ6+AZ7+AZ8</f>
        <v/>
      </c>
      <c r="BA9" s="152">
        <f>BA6+BA7+BA8</f>
        <v/>
      </c>
      <c r="BB9" s="152">
        <f>BB6+BB7+BB8</f>
        <v/>
      </c>
      <c r="BC9" s="152">
        <f>BC6+BC7+BC8</f>
        <v/>
      </c>
      <c r="BD9" s="152">
        <f>BD6+BD7+BD8</f>
        <v/>
      </c>
      <c r="BE9" s="152">
        <f>BE6+BE7+BE8</f>
        <v/>
      </c>
      <c r="BF9" s="152">
        <f>BF6+BF7+BF8</f>
        <v/>
      </c>
      <c r="BG9" s="152">
        <f>BG6+BG7+BG8</f>
        <v/>
      </c>
      <c r="BH9" s="152">
        <f>BH6+BH7+BH8</f>
        <v/>
      </c>
      <c r="BI9" s="152">
        <f>BI6+BI7+BI8</f>
        <v/>
      </c>
      <c r="BJ9" s="152">
        <f>BJ6+BJ7+BJ8</f>
        <v/>
      </c>
      <c r="BL9" s="152">
        <f>N6+N7+N8</f>
        <v/>
      </c>
      <c r="BM9" s="152">
        <f>Z6+Z7+Z8</f>
        <v/>
      </c>
      <c r="BN9" s="152">
        <f>AL6+AL7+AL8</f>
        <v/>
      </c>
      <c r="BO9" s="152">
        <f>AX6+AX7+AX8</f>
        <v/>
      </c>
      <c r="BP9" s="152">
        <f>BJ6+BJ7+BJ8</f>
        <v/>
      </c>
    </row>
    <row r="11" ht="15" customHeight="1" s="104">
      <c r="A11" s="153" t="inlineStr">
        <is>
          <t>Long-Term Assets</t>
        </is>
      </c>
      <c r="B11" s="172" t="n"/>
      <c r="C11" s="172" t="n"/>
      <c r="D11" s="172" t="n"/>
      <c r="E11" s="172" t="n"/>
      <c r="F11" s="172" t="n"/>
      <c r="G11" s="172" t="n"/>
      <c r="H11" s="172" t="n"/>
      <c r="I11" s="172" t="n"/>
      <c r="J11" s="172" t="n"/>
      <c r="K11" s="172" t="n"/>
      <c r="L11" s="172" t="n"/>
      <c r="M11" s="172" t="n"/>
      <c r="N11" s="172" t="n"/>
      <c r="O11" s="172" t="n"/>
      <c r="P11" s="172" t="n"/>
      <c r="Q11" s="172" t="n"/>
      <c r="R11" s="172" t="n"/>
      <c r="S11" s="172" t="n"/>
      <c r="T11" s="172" t="n"/>
      <c r="U11" s="172" t="n"/>
      <c r="V11" s="172" t="n"/>
      <c r="W11" s="172" t="n"/>
      <c r="X11" s="172" t="n"/>
      <c r="Y11" s="172" t="n"/>
      <c r="Z11" s="172" t="n"/>
      <c r="AA11" s="172" t="n"/>
      <c r="AB11" s="172" t="n"/>
      <c r="AC11" s="172" t="n"/>
      <c r="AD11" s="172" t="n"/>
      <c r="AE11" s="172" t="n"/>
      <c r="AF11" s="172" t="n"/>
      <c r="AG11" s="172" t="n"/>
      <c r="AH11" s="172" t="n"/>
      <c r="AI11" s="172" t="n"/>
      <c r="AJ11" s="172" t="n"/>
      <c r="AK11" s="172" t="n"/>
      <c r="AL11" s="172" t="n"/>
      <c r="AM11" s="172" t="n"/>
      <c r="AN11" s="172" t="n"/>
      <c r="AO11" s="172" t="n"/>
      <c r="AP11" s="172" t="n"/>
      <c r="AQ11" s="172" t="n"/>
      <c r="AR11" s="172" t="n"/>
      <c r="AS11" s="172" t="n"/>
      <c r="AT11" s="172" t="n"/>
      <c r="AU11" s="172" t="n"/>
      <c r="AV11" s="172" t="n"/>
      <c r="AW11" s="172" t="n"/>
      <c r="AX11" s="172" t="n"/>
      <c r="AY11" s="172" t="n"/>
      <c r="AZ11" s="172" t="n"/>
      <c r="BA11" s="172" t="n"/>
      <c r="BB11" s="172" t="n"/>
      <c r="BC11" s="172" t="n"/>
      <c r="BD11" s="172" t="n"/>
      <c r="BE11" s="172" t="n"/>
      <c r="BF11" s="172" t="n"/>
      <c r="BG11" s="172" t="n"/>
      <c r="BH11" s="172" t="n"/>
      <c r="BI11" s="172" t="n"/>
      <c r="BJ11" s="172" t="n"/>
      <c r="BK11" s="172" t="n"/>
      <c r="BL11" s="172" t="n"/>
      <c r="BM11" s="172" t="n"/>
      <c r="BN11" s="172" t="n"/>
      <c r="BO11" s="172" t="n"/>
      <c r="BP11" s="172" t="n"/>
    </row>
    <row r="12" ht="15" customHeight="1" s="104">
      <c r="A12" s="109" t="inlineStr">
        <is>
          <t xml:space="preserve">    Gross PP&amp;E (Cumulative CapEx)</t>
        </is>
      </c>
      <c r="C12" s="173">
        <f>-'Cash Flow Statement'!C14</f>
        <v/>
      </c>
      <c r="D12" s="173">
        <f>C12+-('Cash Flow Statement'!D14)</f>
        <v/>
      </c>
      <c r="E12" s="173">
        <f>D12+-('Cash Flow Statement'!E14)</f>
        <v/>
      </c>
      <c r="F12" s="173">
        <f>E12+-('Cash Flow Statement'!F14)</f>
        <v/>
      </c>
      <c r="G12" s="173">
        <f>F12+-('Cash Flow Statement'!G14)</f>
        <v/>
      </c>
      <c r="H12" s="173">
        <f>G12+-('Cash Flow Statement'!H14)</f>
        <v/>
      </c>
      <c r="I12" s="173">
        <f>H12+-('Cash Flow Statement'!I14)</f>
        <v/>
      </c>
      <c r="J12" s="173">
        <f>I12+-('Cash Flow Statement'!J14)</f>
        <v/>
      </c>
      <c r="K12" s="173">
        <f>J12+-('Cash Flow Statement'!K14)</f>
        <v/>
      </c>
      <c r="L12" s="173">
        <f>K12+-('Cash Flow Statement'!L14)</f>
        <v/>
      </c>
      <c r="M12" s="173">
        <f>L12+-('Cash Flow Statement'!M14)</f>
        <v/>
      </c>
      <c r="N12" s="173">
        <f>M12+-('Cash Flow Statement'!N14)</f>
        <v/>
      </c>
      <c r="O12" s="173">
        <f>N12+-('Cash Flow Statement'!O14)</f>
        <v/>
      </c>
      <c r="P12" s="173">
        <f>O12+-('Cash Flow Statement'!P14)</f>
        <v/>
      </c>
      <c r="Q12" s="173">
        <f>P12+-('Cash Flow Statement'!Q14)</f>
        <v/>
      </c>
      <c r="R12" s="173">
        <f>Q12+-('Cash Flow Statement'!R14)</f>
        <v/>
      </c>
      <c r="S12" s="173">
        <f>R12+-('Cash Flow Statement'!S14)</f>
        <v/>
      </c>
      <c r="T12" s="173">
        <f>S12+-('Cash Flow Statement'!T14)</f>
        <v/>
      </c>
      <c r="U12" s="173">
        <f>T12+-('Cash Flow Statement'!U14)</f>
        <v/>
      </c>
      <c r="V12" s="173">
        <f>U12+-('Cash Flow Statement'!V14)</f>
        <v/>
      </c>
      <c r="W12" s="173">
        <f>V12+-('Cash Flow Statement'!W14)</f>
        <v/>
      </c>
      <c r="X12" s="173">
        <f>W12+-('Cash Flow Statement'!X14)</f>
        <v/>
      </c>
      <c r="Y12" s="173">
        <f>X12+-('Cash Flow Statement'!Y14)</f>
        <v/>
      </c>
      <c r="Z12" s="173">
        <f>Y12+-('Cash Flow Statement'!Z14)</f>
        <v/>
      </c>
      <c r="AA12" s="173">
        <f>Z12+-('Cash Flow Statement'!AA14)</f>
        <v/>
      </c>
      <c r="AB12" s="173">
        <f>AA12+-('Cash Flow Statement'!AB14)</f>
        <v/>
      </c>
      <c r="AC12" s="173">
        <f>AB12+-('Cash Flow Statement'!AC14)</f>
        <v/>
      </c>
      <c r="AD12" s="173">
        <f>AC12+-('Cash Flow Statement'!AD14)</f>
        <v/>
      </c>
      <c r="AE12" s="173">
        <f>AD12+-('Cash Flow Statement'!AE14)</f>
        <v/>
      </c>
      <c r="AF12" s="173">
        <f>AE12+-('Cash Flow Statement'!AF14)</f>
        <v/>
      </c>
      <c r="AG12" s="173">
        <f>AF12+-('Cash Flow Statement'!AG14)</f>
        <v/>
      </c>
      <c r="AH12" s="173">
        <f>AG12+-('Cash Flow Statement'!AH14)</f>
        <v/>
      </c>
      <c r="AI12" s="173">
        <f>AH12+-('Cash Flow Statement'!AI14)</f>
        <v/>
      </c>
      <c r="AJ12" s="173">
        <f>AI12+-('Cash Flow Statement'!AJ14)</f>
        <v/>
      </c>
      <c r="AK12" s="173">
        <f>AJ12+-('Cash Flow Statement'!AK14)</f>
        <v/>
      </c>
      <c r="AL12" s="173">
        <f>AK12+-('Cash Flow Statement'!AL14)</f>
        <v/>
      </c>
      <c r="AM12" s="173">
        <f>AL12+-('Cash Flow Statement'!AM14)</f>
        <v/>
      </c>
      <c r="AN12" s="173">
        <f>AM12+-('Cash Flow Statement'!AN14)</f>
        <v/>
      </c>
      <c r="AO12" s="173">
        <f>AN12+-('Cash Flow Statement'!AO14)</f>
        <v/>
      </c>
      <c r="AP12" s="173">
        <f>AO12+-('Cash Flow Statement'!AP14)</f>
        <v/>
      </c>
      <c r="AQ12" s="173">
        <f>AP12+-('Cash Flow Statement'!AQ14)</f>
        <v/>
      </c>
      <c r="AR12" s="173">
        <f>AQ12+-('Cash Flow Statement'!AR14)</f>
        <v/>
      </c>
      <c r="AS12" s="173">
        <f>AR12+-('Cash Flow Statement'!AS14)</f>
        <v/>
      </c>
      <c r="AT12" s="173">
        <f>AS12+-('Cash Flow Statement'!AT14)</f>
        <v/>
      </c>
      <c r="AU12" s="173">
        <f>AT12+-('Cash Flow Statement'!AU14)</f>
        <v/>
      </c>
      <c r="AV12" s="173">
        <f>AU12+-('Cash Flow Statement'!AV14)</f>
        <v/>
      </c>
      <c r="AW12" s="173">
        <f>AV12+-('Cash Flow Statement'!AW14)</f>
        <v/>
      </c>
      <c r="AX12" s="173">
        <f>AW12+-('Cash Flow Statement'!AX14)</f>
        <v/>
      </c>
      <c r="AY12" s="173">
        <f>AX12+-('Cash Flow Statement'!AY14)</f>
        <v/>
      </c>
      <c r="AZ12" s="173">
        <f>AY12+-('Cash Flow Statement'!AZ14)</f>
        <v/>
      </c>
      <c r="BA12" s="173">
        <f>AZ12+-('Cash Flow Statement'!BA14)</f>
        <v/>
      </c>
      <c r="BB12" s="173">
        <f>BA12+-('Cash Flow Statement'!BB14)</f>
        <v/>
      </c>
      <c r="BC12" s="173">
        <f>BB12+-('Cash Flow Statement'!BC14)</f>
        <v/>
      </c>
      <c r="BD12" s="173">
        <f>BC12+-('Cash Flow Statement'!BD14)</f>
        <v/>
      </c>
      <c r="BE12" s="173">
        <f>BD12+-('Cash Flow Statement'!BE14)</f>
        <v/>
      </c>
      <c r="BF12" s="173">
        <f>BE12+-('Cash Flow Statement'!BF14)</f>
        <v/>
      </c>
      <c r="BG12" s="173">
        <f>BF12+-('Cash Flow Statement'!BG14)</f>
        <v/>
      </c>
      <c r="BH12" s="173">
        <f>BG12+-('Cash Flow Statement'!BH14)</f>
        <v/>
      </c>
      <c r="BI12" s="173">
        <f>BH12+-('Cash Flow Statement'!BI14)</f>
        <v/>
      </c>
      <c r="BJ12" s="173">
        <f>BI12+-('Cash Flow Statement'!BJ14)</f>
        <v/>
      </c>
      <c r="BL12" s="174">
        <f>N12</f>
        <v/>
      </c>
      <c r="BM12" s="174">
        <f>Z12</f>
        <v/>
      </c>
      <c r="BN12" s="174">
        <f>AL12</f>
        <v/>
      </c>
      <c r="BO12" s="174">
        <f>AX12</f>
        <v/>
      </c>
      <c r="BP12" s="174">
        <f>BJ12</f>
        <v/>
      </c>
    </row>
    <row r="13" ht="15" customHeight="1" s="104">
      <c r="A13" s="109" t="inlineStr">
        <is>
          <t xml:space="preserve">    Less: Accumulated Depreciation</t>
        </is>
      </c>
      <c r="C13" s="173">
        <f>-'Amortization Table'!C50</f>
        <v/>
      </c>
      <c r="D13" s="173">
        <f>C13-'Amortization Table'!D50</f>
        <v/>
      </c>
      <c r="E13" s="173">
        <f>D13-'Amortization Table'!E50</f>
        <v/>
      </c>
      <c r="F13" s="173">
        <f>E13-'Amortization Table'!F50</f>
        <v/>
      </c>
      <c r="G13" s="173">
        <f>F13-'Amortization Table'!G50</f>
        <v/>
      </c>
      <c r="H13" s="173">
        <f>G13-'Amortization Table'!H50</f>
        <v/>
      </c>
      <c r="I13" s="173">
        <f>H13-'Amortization Table'!I50</f>
        <v/>
      </c>
      <c r="J13" s="173">
        <f>I13-'Amortization Table'!J50</f>
        <v/>
      </c>
      <c r="K13" s="173">
        <f>J13-'Amortization Table'!K50</f>
        <v/>
      </c>
      <c r="L13" s="173">
        <f>K13-'Amortization Table'!L50</f>
        <v/>
      </c>
      <c r="M13" s="173">
        <f>L13-'Amortization Table'!M50</f>
        <v/>
      </c>
      <c r="N13" s="173">
        <f>M13-'Amortization Table'!N50</f>
        <v/>
      </c>
      <c r="O13" s="173">
        <f>N13-'Amortization Table'!O50</f>
        <v/>
      </c>
      <c r="P13" s="173">
        <f>O13-'Amortization Table'!P50</f>
        <v/>
      </c>
      <c r="Q13" s="173">
        <f>P13-'Amortization Table'!Q50</f>
        <v/>
      </c>
      <c r="R13" s="173">
        <f>Q13-'Amortization Table'!R50</f>
        <v/>
      </c>
      <c r="S13" s="173">
        <f>R13-'Amortization Table'!S50</f>
        <v/>
      </c>
      <c r="T13" s="173">
        <f>S13-'Amortization Table'!T50</f>
        <v/>
      </c>
      <c r="U13" s="173">
        <f>T13-'Amortization Table'!U50</f>
        <v/>
      </c>
      <c r="V13" s="173">
        <f>U13-'Amortization Table'!V50</f>
        <v/>
      </c>
      <c r="W13" s="173">
        <f>V13-'Amortization Table'!W50</f>
        <v/>
      </c>
      <c r="X13" s="173">
        <f>W13-'Amortization Table'!X50</f>
        <v/>
      </c>
      <c r="Y13" s="173">
        <f>X13-'Amortization Table'!Y50</f>
        <v/>
      </c>
      <c r="Z13" s="173">
        <f>Y13-'Amortization Table'!Z50</f>
        <v/>
      </c>
      <c r="AA13" s="173">
        <f>Z13-'Amortization Table'!AA50</f>
        <v/>
      </c>
      <c r="AB13" s="173">
        <f>AA13-'Amortization Table'!AB50</f>
        <v/>
      </c>
      <c r="AC13" s="173">
        <f>AB13-'Amortization Table'!AC50</f>
        <v/>
      </c>
      <c r="AD13" s="173">
        <f>AC13-'Amortization Table'!AD50</f>
        <v/>
      </c>
      <c r="AE13" s="173">
        <f>AD13-'Amortization Table'!AE50</f>
        <v/>
      </c>
      <c r="AF13" s="173">
        <f>AE13-'Amortization Table'!AF50</f>
        <v/>
      </c>
      <c r="AG13" s="173">
        <f>AF13-'Amortization Table'!AG50</f>
        <v/>
      </c>
      <c r="AH13" s="173">
        <f>AG13-'Amortization Table'!AH50</f>
        <v/>
      </c>
      <c r="AI13" s="173">
        <f>AH13-'Amortization Table'!AI50</f>
        <v/>
      </c>
      <c r="AJ13" s="173">
        <f>AI13-'Amortization Table'!AJ50</f>
        <v/>
      </c>
      <c r="AK13" s="173">
        <f>AJ13-'Amortization Table'!AK50</f>
        <v/>
      </c>
      <c r="AL13" s="173">
        <f>AK13-'Amortization Table'!AL50</f>
        <v/>
      </c>
      <c r="AM13" s="173">
        <f>AL13-'Amortization Table'!AM50</f>
        <v/>
      </c>
      <c r="AN13" s="173">
        <f>AM13-'Amortization Table'!AN50</f>
        <v/>
      </c>
      <c r="AO13" s="173">
        <f>AN13-'Amortization Table'!AO50</f>
        <v/>
      </c>
      <c r="AP13" s="173">
        <f>AO13-'Amortization Table'!AP50</f>
        <v/>
      </c>
      <c r="AQ13" s="173">
        <f>AP13-'Amortization Table'!AQ50</f>
        <v/>
      </c>
      <c r="AR13" s="173">
        <f>AQ13-'Amortization Table'!AR50</f>
        <v/>
      </c>
      <c r="AS13" s="173">
        <f>AR13-'Amortization Table'!AS50</f>
        <v/>
      </c>
      <c r="AT13" s="173">
        <f>AS13-'Amortization Table'!AT50</f>
        <v/>
      </c>
      <c r="AU13" s="173">
        <f>AT13-'Amortization Table'!AU50</f>
        <v/>
      </c>
      <c r="AV13" s="173">
        <f>AU13-'Amortization Table'!AV50</f>
        <v/>
      </c>
      <c r="AW13" s="173">
        <f>AV13-'Amortization Table'!AW50</f>
        <v/>
      </c>
      <c r="AX13" s="173">
        <f>AW13-'Amortization Table'!AX50</f>
        <v/>
      </c>
      <c r="AY13" s="173">
        <f>AX13-'Amortization Table'!AY50</f>
        <v/>
      </c>
      <c r="AZ13" s="173">
        <f>AY13-'Amortization Table'!AZ50</f>
        <v/>
      </c>
      <c r="BA13" s="173">
        <f>AZ13-'Amortization Table'!BA50</f>
        <v/>
      </c>
      <c r="BB13" s="173">
        <f>BA13-'Amortization Table'!BB50</f>
        <v/>
      </c>
      <c r="BC13" s="173">
        <f>BB13-'Amortization Table'!BC50</f>
        <v/>
      </c>
      <c r="BD13" s="173">
        <f>BC13-'Amortization Table'!BD50</f>
        <v/>
      </c>
      <c r="BE13" s="173">
        <f>BD13-'Amortization Table'!BE50</f>
        <v/>
      </c>
      <c r="BF13" s="173">
        <f>BE13-'Amortization Table'!BF50</f>
        <v/>
      </c>
      <c r="BG13" s="173">
        <f>BF13-'Amortization Table'!BG50</f>
        <v/>
      </c>
      <c r="BH13" s="173">
        <f>BG13-'Amortization Table'!BH50</f>
        <v/>
      </c>
      <c r="BI13" s="173">
        <f>BH13-'Amortization Table'!BI50</f>
        <v/>
      </c>
      <c r="BJ13" s="173">
        <f>BI13-'Amortization Table'!BJ50</f>
        <v/>
      </c>
      <c r="BL13" s="174">
        <f>N13</f>
        <v/>
      </c>
      <c r="BM13" s="174">
        <f>Z13</f>
        <v/>
      </c>
      <c r="BN13" s="174">
        <f>AL13</f>
        <v/>
      </c>
      <c r="BO13" s="174">
        <f>AX13</f>
        <v/>
      </c>
      <c r="BP13" s="174">
        <f>BJ13</f>
        <v/>
      </c>
    </row>
    <row r="14" ht="15" customHeight="1" s="104">
      <c r="A14" s="116" t="inlineStr">
        <is>
          <t xml:space="preserve">    Net PP&amp;E</t>
        </is>
      </c>
      <c r="C14" s="151">
        <f>C12+C13</f>
        <v/>
      </c>
      <c r="D14" s="151">
        <f>D12+D13</f>
        <v/>
      </c>
      <c r="E14" s="151">
        <f>E12+E13</f>
        <v/>
      </c>
      <c r="F14" s="151">
        <f>F12+F13</f>
        <v/>
      </c>
      <c r="G14" s="151">
        <f>G12+G13</f>
        <v/>
      </c>
      <c r="H14" s="151">
        <f>H12+H13</f>
        <v/>
      </c>
      <c r="I14" s="151">
        <f>I12+I13</f>
        <v/>
      </c>
      <c r="J14" s="151">
        <f>J12+J13</f>
        <v/>
      </c>
      <c r="K14" s="151">
        <f>K12+K13</f>
        <v/>
      </c>
      <c r="L14" s="151">
        <f>L12+L13</f>
        <v/>
      </c>
      <c r="M14" s="151">
        <f>M12+M13</f>
        <v/>
      </c>
      <c r="N14" s="151">
        <f>N12+N13</f>
        <v/>
      </c>
      <c r="O14" s="151">
        <f>O12+O13</f>
        <v/>
      </c>
      <c r="P14" s="151">
        <f>P12+P13</f>
        <v/>
      </c>
      <c r="Q14" s="151">
        <f>Q12+Q13</f>
        <v/>
      </c>
      <c r="R14" s="151">
        <f>R12+R13</f>
        <v/>
      </c>
      <c r="S14" s="151">
        <f>S12+S13</f>
        <v/>
      </c>
      <c r="T14" s="151">
        <f>T12+T13</f>
        <v/>
      </c>
      <c r="U14" s="151">
        <f>U12+U13</f>
        <v/>
      </c>
      <c r="V14" s="151">
        <f>V12+V13</f>
        <v/>
      </c>
      <c r="W14" s="151">
        <f>W12+W13</f>
        <v/>
      </c>
      <c r="X14" s="151">
        <f>X12+X13</f>
        <v/>
      </c>
      <c r="Y14" s="151">
        <f>Y12+Y13</f>
        <v/>
      </c>
      <c r="Z14" s="151">
        <f>Z12+Z13</f>
        <v/>
      </c>
      <c r="AA14" s="151">
        <f>AA12+AA13</f>
        <v/>
      </c>
      <c r="AB14" s="151">
        <f>AB12+AB13</f>
        <v/>
      </c>
      <c r="AC14" s="151">
        <f>AC12+AC13</f>
        <v/>
      </c>
      <c r="AD14" s="151">
        <f>AD12+AD13</f>
        <v/>
      </c>
      <c r="AE14" s="151">
        <f>AE12+AE13</f>
        <v/>
      </c>
      <c r="AF14" s="151">
        <f>AF12+AF13</f>
        <v/>
      </c>
      <c r="AG14" s="151">
        <f>AG12+AG13</f>
        <v/>
      </c>
      <c r="AH14" s="151">
        <f>AH12+AH13</f>
        <v/>
      </c>
      <c r="AI14" s="151">
        <f>AI12+AI13</f>
        <v/>
      </c>
      <c r="AJ14" s="151">
        <f>AJ12+AJ13</f>
        <v/>
      </c>
      <c r="AK14" s="151">
        <f>AK12+AK13</f>
        <v/>
      </c>
      <c r="AL14" s="151">
        <f>AL12+AL13</f>
        <v/>
      </c>
      <c r="AM14" s="151">
        <f>AM12+AM13</f>
        <v/>
      </c>
      <c r="AN14" s="151">
        <f>AN12+AN13</f>
        <v/>
      </c>
      <c r="AO14" s="151">
        <f>AO12+AO13</f>
        <v/>
      </c>
      <c r="AP14" s="151">
        <f>AP12+AP13</f>
        <v/>
      </c>
      <c r="AQ14" s="151">
        <f>AQ12+AQ13</f>
        <v/>
      </c>
      <c r="AR14" s="151">
        <f>AR12+AR13</f>
        <v/>
      </c>
      <c r="AS14" s="151">
        <f>AS12+AS13</f>
        <v/>
      </c>
      <c r="AT14" s="151">
        <f>AT12+AT13</f>
        <v/>
      </c>
      <c r="AU14" s="151">
        <f>AU12+AU13</f>
        <v/>
      </c>
      <c r="AV14" s="151">
        <f>AV12+AV13</f>
        <v/>
      </c>
      <c r="AW14" s="151">
        <f>AW12+AW13</f>
        <v/>
      </c>
      <c r="AX14" s="151">
        <f>AX12+AX13</f>
        <v/>
      </c>
      <c r="AY14" s="151">
        <f>AY12+AY13</f>
        <v/>
      </c>
      <c r="AZ14" s="151">
        <f>AZ12+AZ13</f>
        <v/>
      </c>
      <c r="BA14" s="151">
        <f>BA12+BA13</f>
        <v/>
      </c>
      <c r="BB14" s="151">
        <f>BB12+BB13</f>
        <v/>
      </c>
      <c r="BC14" s="151">
        <f>BC12+BC13</f>
        <v/>
      </c>
      <c r="BD14" s="151">
        <f>BD12+BD13</f>
        <v/>
      </c>
      <c r="BE14" s="151">
        <f>BE12+BE13</f>
        <v/>
      </c>
      <c r="BF14" s="151">
        <f>BF12+BF13</f>
        <v/>
      </c>
      <c r="BG14" s="151">
        <f>BG12+BG13</f>
        <v/>
      </c>
      <c r="BH14" s="151">
        <f>BH12+BH13</f>
        <v/>
      </c>
      <c r="BI14" s="151">
        <f>BI12+BI13</f>
        <v/>
      </c>
      <c r="BJ14" s="151">
        <f>BJ12+BJ13</f>
        <v/>
      </c>
      <c r="BL14" s="152">
        <f>N14</f>
        <v/>
      </c>
      <c r="BM14" s="152">
        <f>Z14</f>
        <v/>
      </c>
      <c r="BN14" s="152">
        <f>AL14</f>
        <v/>
      </c>
      <c r="BO14" s="152">
        <f>AX14</f>
        <v/>
      </c>
      <c r="BP14" s="152">
        <f>BJ14</f>
        <v/>
      </c>
    </row>
    <row r="15" ht="15" customHeight="1" s="104">
      <c r="A15" s="109" t="inlineStr">
        <is>
          <t xml:space="preserve">    Goodwill – Gross (§197)</t>
        </is>
      </c>
      <c r="C15" s="173">
        <f>-'Cash Flow Statement'!C18+-'Cash Flow Statement'!C19+-'Cash Flow Statement'!C20+-'Cash Flow Statement'!C21+-'Cash Flow Statement'!C22+-'Cash Flow Statement'!C23+-'Cash Flow Statement'!C24+-'Cash Flow Statement'!C25+-'Cash Flow Statement'!C26+-'Cash Flow Statement'!C27+-'Cash Flow Statement'!C28</f>
        <v/>
      </c>
      <c r="D15" s="173">
        <f>C15+-'Cash Flow Statement'!D19+-'Cash Flow Statement'!D20+-'Cash Flow Statement'!D21+-'Cash Flow Statement'!D22+-'Cash Flow Statement'!D23+-'Cash Flow Statement'!D24+-'Cash Flow Statement'!D25+-'Cash Flow Statement'!D26+-'Cash Flow Statement'!D27+-'Cash Flow Statement'!D28</f>
        <v/>
      </c>
      <c r="E15" s="173">
        <f>D15+-'Cash Flow Statement'!E19+-'Cash Flow Statement'!E20+-'Cash Flow Statement'!E21+-'Cash Flow Statement'!E22+-'Cash Flow Statement'!E23+-'Cash Flow Statement'!E24+-'Cash Flow Statement'!E25+-'Cash Flow Statement'!E26+-'Cash Flow Statement'!E27+-'Cash Flow Statement'!E28</f>
        <v/>
      </c>
      <c r="F15" s="173">
        <f>E15+-'Cash Flow Statement'!F19+-'Cash Flow Statement'!F20+-'Cash Flow Statement'!F21+-'Cash Flow Statement'!F22+-'Cash Flow Statement'!F23+-'Cash Flow Statement'!F24+-'Cash Flow Statement'!F25+-'Cash Flow Statement'!F26+-'Cash Flow Statement'!F27+-'Cash Flow Statement'!F28</f>
        <v/>
      </c>
      <c r="G15" s="173">
        <f>F15+-'Cash Flow Statement'!G19+-'Cash Flow Statement'!G20+-'Cash Flow Statement'!G21+-'Cash Flow Statement'!G22+-'Cash Flow Statement'!G23+-'Cash Flow Statement'!G24+-'Cash Flow Statement'!G25+-'Cash Flow Statement'!G26+-'Cash Flow Statement'!G27+-'Cash Flow Statement'!G28</f>
        <v/>
      </c>
      <c r="H15" s="173">
        <f>G15+-'Cash Flow Statement'!H19+-'Cash Flow Statement'!H20+-'Cash Flow Statement'!H21+-'Cash Flow Statement'!H22+-'Cash Flow Statement'!H23+-'Cash Flow Statement'!H24+-'Cash Flow Statement'!H25+-'Cash Flow Statement'!H26+-'Cash Flow Statement'!H27+-'Cash Flow Statement'!H28</f>
        <v/>
      </c>
      <c r="I15" s="173">
        <f>H15+-'Cash Flow Statement'!I19+-'Cash Flow Statement'!I20+-'Cash Flow Statement'!I21+-'Cash Flow Statement'!I22+-'Cash Flow Statement'!I23+-'Cash Flow Statement'!I24+-'Cash Flow Statement'!I25+-'Cash Flow Statement'!I26+-'Cash Flow Statement'!I27+-'Cash Flow Statement'!I28</f>
        <v/>
      </c>
      <c r="J15" s="173">
        <f>I15+-'Cash Flow Statement'!J19+-'Cash Flow Statement'!J20+-'Cash Flow Statement'!J21+-'Cash Flow Statement'!J22+-'Cash Flow Statement'!J23+-'Cash Flow Statement'!J24+-'Cash Flow Statement'!J25+-'Cash Flow Statement'!J26+-'Cash Flow Statement'!J27+-'Cash Flow Statement'!J28</f>
        <v/>
      </c>
      <c r="K15" s="173">
        <f>J15+-'Cash Flow Statement'!K19+-'Cash Flow Statement'!K20+-'Cash Flow Statement'!K21+-'Cash Flow Statement'!K22+-'Cash Flow Statement'!K23+-'Cash Flow Statement'!K24+-'Cash Flow Statement'!K25+-'Cash Flow Statement'!K26+-'Cash Flow Statement'!K27+-'Cash Flow Statement'!K28</f>
        <v/>
      </c>
      <c r="L15" s="173">
        <f>K15+-'Cash Flow Statement'!L19+-'Cash Flow Statement'!L20+-'Cash Flow Statement'!L21+-'Cash Flow Statement'!L22+-'Cash Flow Statement'!L23+-'Cash Flow Statement'!L24+-'Cash Flow Statement'!L25+-'Cash Flow Statement'!L26+-'Cash Flow Statement'!L27+-'Cash Flow Statement'!L28</f>
        <v/>
      </c>
      <c r="M15" s="173">
        <f>L15+-'Cash Flow Statement'!M19+-'Cash Flow Statement'!M20+-'Cash Flow Statement'!M21+-'Cash Flow Statement'!M22+-'Cash Flow Statement'!M23+-'Cash Flow Statement'!M24+-'Cash Flow Statement'!M25+-'Cash Flow Statement'!M26+-'Cash Flow Statement'!M27+-'Cash Flow Statement'!M28</f>
        <v/>
      </c>
      <c r="N15" s="173">
        <f>M15+-'Cash Flow Statement'!N19+-'Cash Flow Statement'!N20+-'Cash Flow Statement'!N21+-'Cash Flow Statement'!N22+-'Cash Flow Statement'!N23+-'Cash Flow Statement'!N24+-'Cash Flow Statement'!N25+-'Cash Flow Statement'!N26+-'Cash Flow Statement'!N27+-'Cash Flow Statement'!N28</f>
        <v/>
      </c>
      <c r="O15" s="173">
        <f>N15+-'Cash Flow Statement'!O19+-'Cash Flow Statement'!O20+-'Cash Flow Statement'!O21+-'Cash Flow Statement'!O22+-'Cash Flow Statement'!O23+-'Cash Flow Statement'!O24+-'Cash Flow Statement'!O25+-'Cash Flow Statement'!O26+-'Cash Flow Statement'!O27+-'Cash Flow Statement'!O28</f>
        <v/>
      </c>
      <c r="P15" s="173">
        <f>O15+-'Cash Flow Statement'!P19+-'Cash Flow Statement'!P20+-'Cash Flow Statement'!P21+-'Cash Flow Statement'!P22+-'Cash Flow Statement'!P23+-'Cash Flow Statement'!P24+-'Cash Flow Statement'!P25+-'Cash Flow Statement'!P26+-'Cash Flow Statement'!P27+-'Cash Flow Statement'!P28</f>
        <v/>
      </c>
      <c r="Q15" s="173">
        <f>P15+-'Cash Flow Statement'!Q19+-'Cash Flow Statement'!Q20+-'Cash Flow Statement'!Q21+-'Cash Flow Statement'!Q22+-'Cash Flow Statement'!Q23+-'Cash Flow Statement'!Q24+-'Cash Flow Statement'!Q25+-'Cash Flow Statement'!Q26+-'Cash Flow Statement'!Q27+-'Cash Flow Statement'!Q28</f>
        <v/>
      </c>
      <c r="R15" s="173">
        <f>Q15+-'Cash Flow Statement'!R19+-'Cash Flow Statement'!R20+-'Cash Flow Statement'!R21+-'Cash Flow Statement'!R22+-'Cash Flow Statement'!R23+-'Cash Flow Statement'!R24+-'Cash Flow Statement'!R25+-'Cash Flow Statement'!R26+-'Cash Flow Statement'!R27+-'Cash Flow Statement'!R28</f>
        <v/>
      </c>
      <c r="S15" s="173">
        <f>R15+-'Cash Flow Statement'!S19+-'Cash Flow Statement'!S20+-'Cash Flow Statement'!S21+-'Cash Flow Statement'!S22+-'Cash Flow Statement'!S23+-'Cash Flow Statement'!S24+-'Cash Flow Statement'!S25+-'Cash Flow Statement'!S26+-'Cash Flow Statement'!S27+-'Cash Flow Statement'!S28</f>
        <v/>
      </c>
      <c r="T15" s="173">
        <f>S15+-'Cash Flow Statement'!T19+-'Cash Flow Statement'!T20+-'Cash Flow Statement'!T21+-'Cash Flow Statement'!T22+-'Cash Flow Statement'!T23+-'Cash Flow Statement'!T24+-'Cash Flow Statement'!T25+-'Cash Flow Statement'!T26+-'Cash Flow Statement'!T27+-'Cash Flow Statement'!T28</f>
        <v/>
      </c>
      <c r="U15" s="173">
        <f>T15+-'Cash Flow Statement'!U19+-'Cash Flow Statement'!U20+-'Cash Flow Statement'!U21+-'Cash Flow Statement'!U22+-'Cash Flow Statement'!U23+-'Cash Flow Statement'!U24+-'Cash Flow Statement'!U25+-'Cash Flow Statement'!U26+-'Cash Flow Statement'!U27+-'Cash Flow Statement'!U28</f>
        <v/>
      </c>
      <c r="V15" s="173">
        <f>U15+-'Cash Flow Statement'!V19+-'Cash Flow Statement'!V20+-'Cash Flow Statement'!V21+-'Cash Flow Statement'!V22+-'Cash Flow Statement'!V23+-'Cash Flow Statement'!V24+-'Cash Flow Statement'!V25+-'Cash Flow Statement'!V26+-'Cash Flow Statement'!V27+-'Cash Flow Statement'!V28</f>
        <v/>
      </c>
      <c r="W15" s="173">
        <f>V15+-'Cash Flow Statement'!W19+-'Cash Flow Statement'!W20+-'Cash Flow Statement'!W21+-'Cash Flow Statement'!W22+-'Cash Flow Statement'!W23+-'Cash Flow Statement'!W24+-'Cash Flow Statement'!W25+-'Cash Flow Statement'!W26+-'Cash Flow Statement'!W27+-'Cash Flow Statement'!W28</f>
        <v/>
      </c>
      <c r="X15" s="173">
        <f>W15+-'Cash Flow Statement'!X19+-'Cash Flow Statement'!X20+-'Cash Flow Statement'!X21+-'Cash Flow Statement'!X22+-'Cash Flow Statement'!X23+-'Cash Flow Statement'!X24+-'Cash Flow Statement'!X25+-'Cash Flow Statement'!X26+-'Cash Flow Statement'!X27+-'Cash Flow Statement'!X28</f>
        <v/>
      </c>
      <c r="Y15" s="173">
        <f>X15+-'Cash Flow Statement'!Y19+-'Cash Flow Statement'!Y20+-'Cash Flow Statement'!Y21+-'Cash Flow Statement'!Y22+-'Cash Flow Statement'!Y23+-'Cash Flow Statement'!Y24+-'Cash Flow Statement'!Y25+-'Cash Flow Statement'!Y26+-'Cash Flow Statement'!Y27+-'Cash Flow Statement'!Y28</f>
        <v/>
      </c>
      <c r="Z15" s="173">
        <f>Y15+-'Cash Flow Statement'!Z19+-'Cash Flow Statement'!Z20+-'Cash Flow Statement'!Z21+-'Cash Flow Statement'!Z22+-'Cash Flow Statement'!Z23+-'Cash Flow Statement'!Z24+-'Cash Flow Statement'!Z25+-'Cash Flow Statement'!Z26+-'Cash Flow Statement'!Z27+-'Cash Flow Statement'!Z28</f>
        <v/>
      </c>
      <c r="AA15" s="173">
        <f>Z15+-'Cash Flow Statement'!AA19+-'Cash Flow Statement'!AA20+-'Cash Flow Statement'!AA21+-'Cash Flow Statement'!AA22+-'Cash Flow Statement'!AA23+-'Cash Flow Statement'!AA24+-'Cash Flow Statement'!AA25+-'Cash Flow Statement'!AA26+-'Cash Flow Statement'!AA27+-'Cash Flow Statement'!AA28</f>
        <v/>
      </c>
      <c r="AB15" s="173">
        <f>AA15+-'Cash Flow Statement'!AB19+-'Cash Flow Statement'!AB20+-'Cash Flow Statement'!AB21+-'Cash Flow Statement'!AB22+-'Cash Flow Statement'!AB23+-'Cash Flow Statement'!AB24+-'Cash Flow Statement'!AB25+-'Cash Flow Statement'!AB26+-'Cash Flow Statement'!AB27+-'Cash Flow Statement'!AB28</f>
        <v/>
      </c>
      <c r="AC15" s="173">
        <f>AB15+-'Cash Flow Statement'!AC19+-'Cash Flow Statement'!AC20+-'Cash Flow Statement'!AC21+-'Cash Flow Statement'!AC22+-'Cash Flow Statement'!AC23+-'Cash Flow Statement'!AC24+-'Cash Flow Statement'!AC25+-'Cash Flow Statement'!AC26+-'Cash Flow Statement'!AC27+-'Cash Flow Statement'!AC28</f>
        <v/>
      </c>
      <c r="AD15" s="173">
        <f>AC15+-'Cash Flow Statement'!AD19+-'Cash Flow Statement'!AD20+-'Cash Flow Statement'!AD21+-'Cash Flow Statement'!AD22+-'Cash Flow Statement'!AD23+-'Cash Flow Statement'!AD24+-'Cash Flow Statement'!AD25+-'Cash Flow Statement'!AD26+-'Cash Flow Statement'!AD27+-'Cash Flow Statement'!AD28</f>
        <v/>
      </c>
      <c r="AE15" s="173">
        <f>AD15+-'Cash Flow Statement'!AE19+-'Cash Flow Statement'!AE20+-'Cash Flow Statement'!AE21+-'Cash Flow Statement'!AE22+-'Cash Flow Statement'!AE23+-'Cash Flow Statement'!AE24+-'Cash Flow Statement'!AE25+-'Cash Flow Statement'!AE26+-'Cash Flow Statement'!AE27+-'Cash Flow Statement'!AE28</f>
        <v/>
      </c>
      <c r="AF15" s="173">
        <f>AE15+-'Cash Flow Statement'!AF19+-'Cash Flow Statement'!AF20+-'Cash Flow Statement'!AF21+-'Cash Flow Statement'!AF22+-'Cash Flow Statement'!AF23+-'Cash Flow Statement'!AF24+-'Cash Flow Statement'!AF25+-'Cash Flow Statement'!AF26+-'Cash Flow Statement'!AF27+-'Cash Flow Statement'!AF28</f>
        <v/>
      </c>
      <c r="AG15" s="173">
        <f>AF15+-'Cash Flow Statement'!AG19+-'Cash Flow Statement'!AG20+-'Cash Flow Statement'!AG21+-'Cash Flow Statement'!AG22+-'Cash Flow Statement'!AG23+-'Cash Flow Statement'!AG24+-'Cash Flow Statement'!AG25+-'Cash Flow Statement'!AG26+-'Cash Flow Statement'!AG27+-'Cash Flow Statement'!AG28</f>
        <v/>
      </c>
      <c r="AH15" s="173">
        <f>AG15+-'Cash Flow Statement'!AH19+-'Cash Flow Statement'!AH20+-'Cash Flow Statement'!AH21+-'Cash Flow Statement'!AH22+-'Cash Flow Statement'!AH23+-'Cash Flow Statement'!AH24+-'Cash Flow Statement'!AH25+-'Cash Flow Statement'!AH26+-'Cash Flow Statement'!AH27+-'Cash Flow Statement'!AH28</f>
        <v/>
      </c>
      <c r="AI15" s="173">
        <f>AH15+-'Cash Flow Statement'!AI19+-'Cash Flow Statement'!AI20+-'Cash Flow Statement'!AI21+-'Cash Flow Statement'!AI22+-'Cash Flow Statement'!AI23+-'Cash Flow Statement'!AI24+-'Cash Flow Statement'!AI25+-'Cash Flow Statement'!AI26+-'Cash Flow Statement'!AI27+-'Cash Flow Statement'!AI28</f>
        <v/>
      </c>
      <c r="AJ15" s="173">
        <f>AI15+-'Cash Flow Statement'!AJ19+-'Cash Flow Statement'!AJ20+-'Cash Flow Statement'!AJ21+-'Cash Flow Statement'!AJ22+-'Cash Flow Statement'!AJ23+-'Cash Flow Statement'!AJ24+-'Cash Flow Statement'!AJ25+-'Cash Flow Statement'!AJ26+-'Cash Flow Statement'!AJ27+-'Cash Flow Statement'!AJ28</f>
        <v/>
      </c>
      <c r="AK15" s="173">
        <f>AJ15+-'Cash Flow Statement'!AK19+-'Cash Flow Statement'!AK20+-'Cash Flow Statement'!AK21+-'Cash Flow Statement'!AK22+-'Cash Flow Statement'!AK23+-'Cash Flow Statement'!AK24+-'Cash Flow Statement'!AK25+-'Cash Flow Statement'!AK26+-'Cash Flow Statement'!AK27+-'Cash Flow Statement'!AK28</f>
        <v/>
      </c>
      <c r="AL15" s="173">
        <f>AK15+-'Cash Flow Statement'!AL19+-'Cash Flow Statement'!AL20+-'Cash Flow Statement'!AL21+-'Cash Flow Statement'!AL22+-'Cash Flow Statement'!AL23+-'Cash Flow Statement'!AL24+-'Cash Flow Statement'!AL25+-'Cash Flow Statement'!AL26+-'Cash Flow Statement'!AL27+-'Cash Flow Statement'!AL28</f>
        <v/>
      </c>
      <c r="AM15" s="173">
        <f>AL15+-'Cash Flow Statement'!AM19+-'Cash Flow Statement'!AM20+-'Cash Flow Statement'!AM21+-'Cash Flow Statement'!AM22+-'Cash Flow Statement'!AM23+-'Cash Flow Statement'!AM24+-'Cash Flow Statement'!AM25+-'Cash Flow Statement'!AM26+-'Cash Flow Statement'!AM27+-'Cash Flow Statement'!AM28</f>
        <v/>
      </c>
      <c r="AN15" s="173">
        <f>AM15+-'Cash Flow Statement'!AN19+-'Cash Flow Statement'!AN20+-'Cash Flow Statement'!AN21+-'Cash Flow Statement'!AN22+-'Cash Flow Statement'!AN23+-'Cash Flow Statement'!AN24+-'Cash Flow Statement'!AN25+-'Cash Flow Statement'!AN26+-'Cash Flow Statement'!AN27+-'Cash Flow Statement'!AN28</f>
        <v/>
      </c>
      <c r="AO15" s="173">
        <f>AN15+-'Cash Flow Statement'!AO19+-'Cash Flow Statement'!AO20+-'Cash Flow Statement'!AO21+-'Cash Flow Statement'!AO22+-'Cash Flow Statement'!AO23+-'Cash Flow Statement'!AO24+-'Cash Flow Statement'!AO25+-'Cash Flow Statement'!AO26+-'Cash Flow Statement'!AO27+-'Cash Flow Statement'!AO28</f>
        <v/>
      </c>
      <c r="AP15" s="173">
        <f>AO15+-'Cash Flow Statement'!AP19+-'Cash Flow Statement'!AP20+-'Cash Flow Statement'!AP21+-'Cash Flow Statement'!AP22+-'Cash Flow Statement'!AP23+-'Cash Flow Statement'!AP24+-'Cash Flow Statement'!AP25+-'Cash Flow Statement'!AP26+-'Cash Flow Statement'!AP27+-'Cash Flow Statement'!AP28</f>
        <v/>
      </c>
      <c r="AQ15" s="173">
        <f>AP15+-'Cash Flow Statement'!AQ19+-'Cash Flow Statement'!AQ20+-'Cash Flow Statement'!AQ21+-'Cash Flow Statement'!AQ22+-'Cash Flow Statement'!AQ23+-'Cash Flow Statement'!AQ24+-'Cash Flow Statement'!AQ25+-'Cash Flow Statement'!AQ26+-'Cash Flow Statement'!AQ27+-'Cash Flow Statement'!AQ28</f>
        <v/>
      </c>
      <c r="AR15" s="173">
        <f>AQ15+-'Cash Flow Statement'!AR19+-'Cash Flow Statement'!AR20+-'Cash Flow Statement'!AR21+-'Cash Flow Statement'!AR22+-'Cash Flow Statement'!AR23+-'Cash Flow Statement'!AR24+-'Cash Flow Statement'!AR25+-'Cash Flow Statement'!AR26+-'Cash Flow Statement'!AR27+-'Cash Flow Statement'!AR28</f>
        <v/>
      </c>
      <c r="AS15" s="173">
        <f>AR15+-'Cash Flow Statement'!AS19+-'Cash Flow Statement'!AS20+-'Cash Flow Statement'!AS21+-'Cash Flow Statement'!AS22+-'Cash Flow Statement'!AS23+-'Cash Flow Statement'!AS24+-'Cash Flow Statement'!AS25+-'Cash Flow Statement'!AS26+-'Cash Flow Statement'!AS27+-'Cash Flow Statement'!AS28</f>
        <v/>
      </c>
      <c r="AT15" s="173">
        <f>AS15+-'Cash Flow Statement'!AT19+-'Cash Flow Statement'!AT20+-'Cash Flow Statement'!AT21+-'Cash Flow Statement'!AT22+-'Cash Flow Statement'!AT23+-'Cash Flow Statement'!AT24+-'Cash Flow Statement'!AT25+-'Cash Flow Statement'!AT26+-'Cash Flow Statement'!AT27+-'Cash Flow Statement'!AT28</f>
        <v/>
      </c>
      <c r="AU15" s="173">
        <f>AT15+-'Cash Flow Statement'!AU19+-'Cash Flow Statement'!AU20+-'Cash Flow Statement'!AU21+-'Cash Flow Statement'!AU22+-'Cash Flow Statement'!AU23+-'Cash Flow Statement'!AU24+-'Cash Flow Statement'!AU25+-'Cash Flow Statement'!AU26+-'Cash Flow Statement'!AU27+-'Cash Flow Statement'!AU28</f>
        <v/>
      </c>
      <c r="AV15" s="173">
        <f>AU15+-'Cash Flow Statement'!AV19+-'Cash Flow Statement'!AV20+-'Cash Flow Statement'!AV21+-'Cash Flow Statement'!AV22+-'Cash Flow Statement'!AV23+-'Cash Flow Statement'!AV24+-'Cash Flow Statement'!AV25+-'Cash Flow Statement'!AV26+-'Cash Flow Statement'!AV27+-'Cash Flow Statement'!AV28</f>
        <v/>
      </c>
      <c r="AW15" s="173">
        <f>AV15+-'Cash Flow Statement'!AW19+-'Cash Flow Statement'!AW20+-'Cash Flow Statement'!AW21+-'Cash Flow Statement'!AW22+-'Cash Flow Statement'!AW23+-'Cash Flow Statement'!AW24+-'Cash Flow Statement'!AW25+-'Cash Flow Statement'!AW26+-'Cash Flow Statement'!AW27+-'Cash Flow Statement'!AW28</f>
        <v/>
      </c>
      <c r="AX15" s="173">
        <f>AW15+-'Cash Flow Statement'!AX19+-'Cash Flow Statement'!AX20+-'Cash Flow Statement'!AX21+-'Cash Flow Statement'!AX22+-'Cash Flow Statement'!AX23+-'Cash Flow Statement'!AX24+-'Cash Flow Statement'!AX25+-'Cash Flow Statement'!AX26+-'Cash Flow Statement'!AX27+-'Cash Flow Statement'!AX28</f>
        <v/>
      </c>
      <c r="AY15" s="173">
        <f>AX15+-'Cash Flow Statement'!AY19+-'Cash Flow Statement'!AY20+-'Cash Flow Statement'!AY21+-'Cash Flow Statement'!AY22+-'Cash Flow Statement'!AY23+-'Cash Flow Statement'!AY24+-'Cash Flow Statement'!AY25+-'Cash Flow Statement'!AY26+-'Cash Flow Statement'!AY27+-'Cash Flow Statement'!AY28</f>
        <v/>
      </c>
      <c r="AZ15" s="173">
        <f>AY15+-'Cash Flow Statement'!AZ19+-'Cash Flow Statement'!AZ20+-'Cash Flow Statement'!AZ21+-'Cash Flow Statement'!AZ22+-'Cash Flow Statement'!AZ23+-'Cash Flow Statement'!AZ24+-'Cash Flow Statement'!AZ25+-'Cash Flow Statement'!AZ26+-'Cash Flow Statement'!AZ27+-'Cash Flow Statement'!AZ28</f>
        <v/>
      </c>
      <c r="BA15" s="173">
        <f>AZ15+-'Cash Flow Statement'!BA19+-'Cash Flow Statement'!BA20+-'Cash Flow Statement'!BA21+-'Cash Flow Statement'!BA22+-'Cash Flow Statement'!BA23+-'Cash Flow Statement'!BA24+-'Cash Flow Statement'!BA25+-'Cash Flow Statement'!BA26+-'Cash Flow Statement'!BA27+-'Cash Flow Statement'!BA28</f>
        <v/>
      </c>
      <c r="BB15" s="173">
        <f>BA15+-'Cash Flow Statement'!BB19+-'Cash Flow Statement'!BB20+-'Cash Flow Statement'!BB21+-'Cash Flow Statement'!BB22+-'Cash Flow Statement'!BB23+-'Cash Flow Statement'!BB24+-'Cash Flow Statement'!BB25+-'Cash Flow Statement'!BB26+-'Cash Flow Statement'!BB27+-'Cash Flow Statement'!BB28</f>
        <v/>
      </c>
      <c r="BC15" s="173">
        <f>BB15+-'Cash Flow Statement'!BC19+-'Cash Flow Statement'!BC20+-'Cash Flow Statement'!BC21+-'Cash Flow Statement'!BC22+-'Cash Flow Statement'!BC23+-'Cash Flow Statement'!BC24+-'Cash Flow Statement'!BC25+-'Cash Flow Statement'!BC26+-'Cash Flow Statement'!BC27+-'Cash Flow Statement'!BC28</f>
        <v/>
      </c>
      <c r="BD15" s="173">
        <f>BC15+-'Cash Flow Statement'!BD19+-'Cash Flow Statement'!BD20+-'Cash Flow Statement'!BD21+-'Cash Flow Statement'!BD22+-'Cash Flow Statement'!BD23+-'Cash Flow Statement'!BD24+-'Cash Flow Statement'!BD25+-'Cash Flow Statement'!BD26+-'Cash Flow Statement'!BD27+-'Cash Flow Statement'!BD28</f>
        <v/>
      </c>
      <c r="BE15" s="173">
        <f>BD15+-'Cash Flow Statement'!BE19+-'Cash Flow Statement'!BE20+-'Cash Flow Statement'!BE21+-'Cash Flow Statement'!BE22+-'Cash Flow Statement'!BE23+-'Cash Flow Statement'!BE24+-'Cash Flow Statement'!BE25+-'Cash Flow Statement'!BE26+-'Cash Flow Statement'!BE27+-'Cash Flow Statement'!BE28</f>
        <v/>
      </c>
      <c r="BF15" s="173">
        <f>BE15+-'Cash Flow Statement'!BF19+-'Cash Flow Statement'!BF20+-'Cash Flow Statement'!BF21+-'Cash Flow Statement'!BF22+-'Cash Flow Statement'!BF23+-'Cash Flow Statement'!BF24+-'Cash Flow Statement'!BF25+-'Cash Flow Statement'!BF26+-'Cash Flow Statement'!BF27+-'Cash Flow Statement'!BF28</f>
        <v/>
      </c>
      <c r="BG15" s="173">
        <f>BF15+-'Cash Flow Statement'!BG19+-'Cash Flow Statement'!BG20+-'Cash Flow Statement'!BG21+-'Cash Flow Statement'!BG22+-'Cash Flow Statement'!BG23+-'Cash Flow Statement'!BG24+-'Cash Flow Statement'!BG25+-'Cash Flow Statement'!BG26+-'Cash Flow Statement'!BG27+-'Cash Flow Statement'!BG28</f>
        <v/>
      </c>
      <c r="BH15" s="173">
        <f>BG15+-'Cash Flow Statement'!BH19+-'Cash Flow Statement'!BH20+-'Cash Flow Statement'!BH21+-'Cash Flow Statement'!BH22+-'Cash Flow Statement'!BH23+-'Cash Flow Statement'!BH24+-'Cash Flow Statement'!BH25+-'Cash Flow Statement'!BH26+-'Cash Flow Statement'!BH27+-'Cash Flow Statement'!BH28</f>
        <v/>
      </c>
      <c r="BI15" s="173">
        <f>BH15+-'Cash Flow Statement'!BI19+-'Cash Flow Statement'!BI20+-'Cash Flow Statement'!BI21+-'Cash Flow Statement'!BI22+-'Cash Flow Statement'!BI23+-'Cash Flow Statement'!BI24+-'Cash Flow Statement'!BI25+-'Cash Flow Statement'!BI26+-'Cash Flow Statement'!BI27+-'Cash Flow Statement'!BI28</f>
        <v/>
      </c>
      <c r="BJ15" s="173">
        <f>BI15+-'Cash Flow Statement'!BJ19+-'Cash Flow Statement'!BJ20+-'Cash Flow Statement'!BJ21+-'Cash Flow Statement'!BJ22+-'Cash Flow Statement'!BJ23+-'Cash Flow Statement'!BJ24+-'Cash Flow Statement'!BJ25+-'Cash Flow Statement'!BJ26+-'Cash Flow Statement'!BJ27+-'Cash Flow Statement'!BJ28</f>
        <v/>
      </c>
      <c r="BL15" s="174">
        <f>N15</f>
        <v/>
      </c>
      <c r="BM15" s="174">
        <f>Z15</f>
        <v/>
      </c>
      <c r="BN15" s="174">
        <f>AL15</f>
        <v/>
      </c>
      <c r="BO15" s="174">
        <f>AX15</f>
        <v/>
      </c>
      <c r="BP15" s="174">
        <f>BJ15</f>
        <v/>
      </c>
    </row>
    <row r="16" ht="15" customHeight="1" s="104">
      <c r="A16" s="109" t="inlineStr">
        <is>
          <t xml:space="preserve">    Less: Accumulated GW Amortization</t>
        </is>
      </c>
      <c r="C16" s="173">
        <f>-'Amortization Table'!C51</f>
        <v/>
      </c>
      <c r="D16" s="173">
        <f>C16-'Amortization Table'!D51</f>
        <v/>
      </c>
      <c r="E16" s="173">
        <f>D16-'Amortization Table'!E51</f>
        <v/>
      </c>
      <c r="F16" s="173">
        <f>E16-'Amortization Table'!F51</f>
        <v/>
      </c>
      <c r="G16" s="173">
        <f>F16-'Amortization Table'!G51</f>
        <v/>
      </c>
      <c r="H16" s="173">
        <f>G16-'Amortization Table'!H51</f>
        <v/>
      </c>
      <c r="I16" s="173">
        <f>H16-'Amortization Table'!I51</f>
        <v/>
      </c>
      <c r="J16" s="173">
        <f>I16-'Amortization Table'!J51</f>
        <v/>
      </c>
      <c r="K16" s="173">
        <f>J16-'Amortization Table'!K51</f>
        <v/>
      </c>
      <c r="L16" s="173">
        <f>K16-'Amortization Table'!L51</f>
        <v/>
      </c>
      <c r="M16" s="173">
        <f>L16-'Amortization Table'!M51</f>
        <v/>
      </c>
      <c r="N16" s="173">
        <f>M16-'Amortization Table'!N51</f>
        <v/>
      </c>
      <c r="O16" s="173">
        <f>N16-'Amortization Table'!O51</f>
        <v/>
      </c>
      <c r="P16" s="173">
        <f>O16-'Amortization Table'!P51</f>
        <v/>
      </c>
      <c r="Q16" s="173">
        <f>P16-'Amortization Table'!Q51</f>
        <v/>
      </c>
      <c r="R16" s="173">
        <f>Q16-'Amortization Table'!R51</f>
        <v/>
      </c>
      <c r="S16" s="173">
        <f>R16-'Amortization Table'!S51</f>
        <v/>
      </c>
      <c r="T16" s="173">
        <f>S16-'Amortization Table'!T51</f>
        <v/>
      </c>
      <c r="U16" s="173">
        <f>T16-'Amortization Table'!U51</f>
        <v/>
      </c>
      <c r="V16" s="173">
        <f>U16-'Amortization Table'!V51</f>
        <v/>
      </c>
      <c r="W16" s="173">
        <f>V16-'Amortization Table'!W51</f>
        <v/>
      </c>
      <c r="X16" s="173">
        <f>W16-'Amortization Table'!X51</f>
        <v/>
      </c>
      <c r="Y16" s="173">
        <f>X16-'Amortization Table'!Y51</f>
        <v/>
      </c>
      <c r="Z16" s="173">
        <f>Y16-'Amortization Table'!Z51</f>
        <v/>
      </c>
      <c r="AA16" s="173">
        <f>Z16-'Amortization Table'!AA51</f>
        <v/>
      </c>
      <c r="AB16" s="173">
        <f>AA16-'Amortization Table'!AB51</f>
        <v/>
      </c>
      <c r="AC16" s="173">
        <f>AB16-'Amortization Table'!AC51</f>
        <v/>
      </c>
      <c r="AD16" s="173">
        <f>AC16-'Amortization Table'!AD51</f>
        <v/>
      </c>
      <c r="AE16" s="173">
        <f>AD16-'Amortization Table'!AE51</f>
        <v/>
      </c>
      <c r="AF16" s="173">
        <f>AE16-'Amortization Table'!AF51</f>
        <v/>
      </c>
      <c r="AG16" s="173">
        <f>AF16-'Amortization Table'!AG51</f>
        <v/>
      </c>
      <c r="AH16" s="173">
        <f>AG16-'Amortization Table'!AH51</f>
        <v/>
      </c>
      <c r="AI16" s="173">
        <f>AH16-'Amortization Table'!AI51</f>
        <v/>
      </c>
      <c r="AJ16" s="173">
        <f>AI16-'Amortization Table'!AJ51</f>
        <v/>
      </c>
      <c r="AK16" s="173">
        <f>AJ16-'Amortization Table'!AK51</f>
        <v/>
      </c>
      <c r="AL16" s="173">
        <f>AK16-'Amortization Table'!AL51</f>
        <v/>
      </c>
      <c r="AM16" s="173">
        <f>AL16-'Amortization Table'!AM51</f>
        <v/>
      </c>
      <c r="AN16" s="173">
        <f>AM16-'Amortization Table'!AN51</f>
        <v/>
      </c>
      <c r="AO16" s="173">
        <f>AN16-'Amortization Table'!AO51</f>
        <v/>
      </c>
      <c r="AP16" s="173">
        <f>AO16-'Amortization Table'!AP51</f>
        <v/>
      </c>
      <c r="AQ16" s="173">
        <f>AP16-'Amortization Table'!AQ51</f>
        <v/>
      </c>
      <c r="AR16" s="173">
        <f>AQ16-'Amortization Table'!AR51</f>
        <v/>
      </c>
      <c r="AS16" s="173">
        <f>AR16-'Amortization Table'!AS51</f>
        <v/>
      </c>
      <c r="AT16" s="173">
        <f>AS16-'Amortization Table'!AT51</f>
        <v/>
      </c>
      <c r="AU16" s="173">
        <f>AT16-'Amortization Table'!AU51</f>
        <v/>
      </c>
      <c r="AV16" s="173">
        <f>AU16-'Amortization Table'!AV51</f>
        <v/>
      </c>
      <c r="AW16" s="173">
        <f>AV16-'Amortization Table'!AW51</f>
        <v/>
      </c>
      <c r="AX16" s="173">
        <f>AW16-'Amortization Table'!AX51</f>
        <v/>
      </c>
      <c r="AY16" s="173">
        <f>AX16-'Amortization Table'!AY51</f>
        <v/>
      </c>
      <c r="AZ16" s="173">
        <f>AY16-'Amortization Table'!AZ51</f>
        <v/>
      </c>
      <c r="BA16" s="173">
        <f>AZ16-'Amortization Table'!BA51</f>
        <v/>
      </c>
      <c r="BB16" s="173">
        <f>BA16-'Amortization Table'!BB51</f>
        <v/>
      </c>
      <c r="BC16" s="173">
        <f>BB16-'Amortization Table'!BC51</f>
        <v/>
      </c>
      <c r="BD16" s="173">
        <f>BC16-'Amortization Table'!BD51</f>
        <v/>
      </c>
      <c r="BE16" s="173">
        <f>BD16-'Amortization Table'!BE51</f>
        <v/>
      </c>
      <c r="BF16" s="173">
        <f>BE16-'Amortization Table'!BF51</f>
        <v/>
      </c>
      <c r="BG16" s="173">
        <f>BF16-'Amortization Table'!BG51</f>
        <v/>
      </c>
      <c r="BH16" s="173">
        <f>BG16-'Amortization Table'!BH51</f>
        <v/>
      </c>
      <c r="BI16" s="173">
        <f>BH16-'Amortization Table'!BI51</f>
        <v/>
      </c>
      <c r="BJ16" s="173">
        <f>BI16-'Amortization Table'!BJ51</f>
        <v/>
      </c>
      <c r="BL16" s="174">
        <f>N16</f>
        <v/>
      </c>
      <c r="BM16" s="174">
        <f>Z16</f>
        <v/>
      </c>
      <c r="BN16" s="174">
        <f>AL16</f>
        <v/>
      </c>
      <c r="BO16" s="174">
        <f>AX16</f>
        <v/>
      </c>
      <c r="BP16" s="174">
        <f>BJ16</f>
        <v/>
      </c>
    </row>
    <row r="17" ht="15" customHeight="1" s="104">
      <c r="A17" s="116" t="inlineStr">
        <is>
          <t xml:space="preserve">    Net Goodwill</t>
        </is>
      </c>
      <c r="C17" s="151">
        <f>C15+C16</f>
        <v/>
      </c>
      <c r="D17" s="151">
        <f>D15+D16</f>
        <v/>
      </c>
      <c r="E17" s="151">
        <f>E15+E16</f>
        <v/>
      </c>
      <c r="F17" s="151">
        <f>F15+F16</f>
        <v/>
      </c>
      <c r="G17" s="151">
        <f>G15+G16</f>
        <v/>
      </c>
      <c r="H17" s="151">
        <f>H15+H16</f>
        <v/>
      </c>
      <c r="I17" s="151">
        <f>I15+I16</f>
        <v/>
      </c>
      <c r="J17" s="151">
        <f>J15+J16</f>
        <v/>
      </c>
      <c r="K17" s="151">
        <f>K15+K16</f>
        <v/>
      </c>
      <c r="L17" s="151">
        <f>L15+L16</f>
        <v/>
      </c>
      <c r="M17" s="151">
        <f>M15+M16</f>
        <v/>
      </c>
      <c r="N17" s="151">
        <f>N15+N16</f>
        <v/>
      </c>
      <c r="O17" s="151">
        <f>O15+O16</f>
        <v/>
      </c>
      <c r="P17" s="151">
        <f>P15+P16</f>
        <v/>
      </c>
      <c r="Q17" s="151">
        <f>Q15+Q16</f>
        <v/>
      </c>
      <c r="R17" s="151">
        <f>R15+R16</f>
        <v/>
      </c>
      <c r="S17" s="151">
        <f>S15+S16</f>
        <v/>
      </c>
      <c r="T17" s="151">
        <f>T15+T16</f>
        <v/>
      </c>
      <c r="U17" s="151">
        <f>U15+U16</f>
        <v/>
      </c>
      <c r="V17" s="151">
        <f>V15+V16</f>
        <v/>
      </c>
      <c r="W17" s="151">
        <f>W15+W16</f>
        <v/>
      </c>
      <c r="X17" s="151">
        <f>X15+X16</f>
        <v/>
      </c>
      <c r="Y17" s="151">
        <f>Y15+Y16</f>
        <v/>
      </c>
      <c r="Z17" s="151">
        <f>Z15+Z16</f>
        <v/>
      </c>
      <c r="AA17" s="151">
        <f>AA15+AA16</f>
        <v/>
      </c>
      <c r="AB17" s="151">
        <f>AB15+AB16</f>
        <v/>
      </c>
      <c r="AC17" s="151">
        <f>AC15+AC16</f>
        <v/>
      </c>
      <c r="AD17" s="151">
        <f>AD15+AD16</f>
        <v/>
      </c>
      <c r="AE17" s="151">
        <f>AE15+AE16</f>
        <v/>
      </c>
      <c r="AF17" s="151">
        <f>AF15+AF16</f>
        <v/>
      </c>
      <c r="AG17" s="151">
        <f>AG15+AG16</f>
        <v/>
      </c>
      <c r="AH17" s="151">
        <f>AH15+AH16</f>
        <v/>
      </c>
      <c r="AI17" s="151">
        <f>AI15+AI16</f>
        <v/>
      </c>
      <c r="AJ17" s="151">
        <f>AJ15+AJ16</f>
        <v/>
      </c>
      <c r="AK17" s="151">
        <f>AK15+AK16</f>
        <v/>
      </c>
      <c r="AL17" s="151">
        <f>AL15+AL16</f>
        <v/>
      </c>
      <c r="AM17" s="151">
        <f>AM15+AM16</f>
        <v/>
      </c>
      <c r="AN17" s="151">
        <f>AN15+AN16</f>
        <v/>
      </c>
      <c r="AO17" s="151">
        <f>AO15+AO16</f>
        <v/>
      </c>
      <c r="AP17" s="151">
        <f>AP15+AP16</f>
        <v/>
      </c>
      <c r="AQ17" s="151">
        <f>AQ15+AQ16</f>
        <v/>
      </c>
      <c r="AR17" s="151">
        <f>AR15+AR16</f>
        <v/>
      </c>
      <c r="AS17" s="151">
        <f>AS15+AS16</f>
        <v/>
      </c>
      <c r="AT17" s="151">
        <f>AT15+AT16</f>
        <v/>
      </c>
      <c r="AU17" s="151">
        <f>AU15+AU16</f>
        <v/>
      </c>
      <c r="AV17" s="151">
        <f>AV15+AV16</f>
        <v/>
      </c>
      <c r="AW17" s="151">
        <f>AW15+AW16</f>
        <v/>
      </c>
      <c r="AX17" s="151">
        <f>AX15+AX16</f>
        <v/>
      </c>
      <c r="AY17" s="151">
        <f>AY15+AY16</f>
        <v/>
      </c>
      <c r="AZ17" s="151">
        <f>AZ15+AZ16</f>
        <v/>
      </c>
      <c r="BA17" s="151">
        <f>BA15+BA16</f>
        <v/>
      </c>
      <c r="BB17" s="151">
        <f>BB15+BB16</f>
        <v/>
      </c>
      <c r="BC17" s="151">
        <f>BC15+BC16</f>
        <v/>
      </c>
      <c r="BD17" s="151">
        <f>BD15+BD16</f>
        <v/>
      </c>
      <c r="BE17" s="151">
        <f>BE15+BE16</f>
        <v/>
      </c>
      <c r="BF17" s="151">
        <f>BF15+BF16</f>
        <v/>
      </c>
      <c r="BG17" s="151">
        <f>BG15+BG16</f>
        <v/>
      </c>
      <c r="BH17" s="151">
        <f>BH15+BH16</f>
        <v/>
      </c>
      <c r="BI17" s="151">
        <f>BI15+BI16</f>
        <v/>
      </c>
      <c r="BJ17" s="151">
        <f>BJ15+BJ16</f>
        <v/>
      </c>
      <c r="BL17" s="152">
        <f>N17</f>
        <v/>
      </c>
      <c r="BM17" s="152">
        <f>Z17</f>
        <v/>
      </c>
      <c r="BN17" s="152">
        <f>AL17</f>
        <v/>
      </c>
      <c r="BO17" s="152">
        <f>AX17</f>
        <v/>
      </c>
      <c r="BP17" s="152">
        <f>BJ17</f>
        <v/>
      </c>
    </row>
    <row r="18" ht="15" customHeight="1" s="104">
      <c r="A18" s="116" t="inlineStr">
        <is>
          <t>Total Long-Term Assets</t>
        </is>
      </c>
      <c r="C18" s="152">
        <f>C14+C17</f>
        <v/>
      </c>
      <c r="D18" s="152">
        <f>D14+D17</f>
        <v/>
      </c>
      <c r="E18" s="152">
        <f>E14+E17</f>
        <v/>
      </c>
      <c r="F18" s="152">
        <f>F14+F17</f>
        <v/>
      </c>
      <c r="G18" s="152">
        <f>G14+G17</f>
        <v/>
      </c>
      <c r="H18" s="152">
        <f>H14+H17</f>
        <v/>
      </c>
      <c r="I18" s="152">
        <f>I14+I17</f>
        <v/>
      </c>
      <c r="J18" s="152">
        <f>J14+J17</f>
        <v/>
      </c>
      <c r="K18" s="152">
        <f>K14+K17</f>
        <v/>
      </c>
      <c r="L18" s="152">
        <f>L14+L17</f>
        <v/>
      </c>
      <c r="M18" s="152">
        <f>M14+M17</f>
        <v/>
      </c>
      <c r="N18" s="152">
        <f>N14+N17</f>
        <v/>
      </c>
      <c r="O18" s="152">
        <f>O14+O17</f>
        <v/>
      </c>
      <c r="P18" s="152">
        <f>P14+P17</f>
        <v/>
      </c>
      <c r="Q18" s="152">
        <f>Q14+Q17</f>
        <v/>
      </c>
      <c r="R18" s="152">
        <f>R14+R17</f>
        <v/>
      </c>
      <c r="S18" s="152">
        <f>S14+S17</f>
        <v/>
      </c>
      <c r="T18" s="152">
        <f>T14+T17</f>
        <v/>
      </c>
      <c r="U18" s="152">
        <f>U14+U17</f>
        <v/>
      </c>
      <c r="V18" s="152">
        <f>V14+V17</f>
        <v/>
      </c>
      <c r="W18" s="152">
        <f>W14+W17</f>
        <v/>
      </c>
      <c r="X18" s="152">
        <f>X14+X17</f>
        <v/>
      </c>
      <c r="Y18" s="152">
        <f>Y14+Y17</f>
        <v/>
      </c>
      <c r="Z18" s="152">
        <f>Z14+Z17</f>
        <v/>
      </c>
      <c r="AA18" s="152">
        <f>AA14+AA17</f>
        <v/>
      </c>
      <c r="AB18" s="152">
        <f>AB14+AB17</f>
        <v/>
      </c>
      <c r="AC18" s="152">
        <f>AC14+AC17</f>
        <v/>
      </c>
      <c r="AD18" s="152">
        <f>AD14+AD17</f>
        <v/>
      </c>
      <c r="AE18" s="152">
        <f>AE14+AE17</f>
        <v/>
      </c>
      <c r="AF18" s="152">
        <f>AF14+AF17</f>
        <v/>
      </c>
      <c r="AG18" s="152">
        <f>AG14+AG17</f>
        <v/>
      </c>
      <c r="AH18" s="152">
        <f>AH14+AH17</f>
        <v/>
      </c>
      <c r="AI18" s="152">
        <f>AI14+AI17</f>
        <v/>
      </c>
      <c r="AJ18" s="152">
        <f>AJ14+AJ17</f>
        <v/>
      </c>
      <c r="AK18" s="152">
        <f>AK14+AK17</f>
        <v/>
      </c>
      <c r="AL18" s="152">
        <f>AL14+AL17</f>
        <v/>
      </c>
      <c r="AM18" s="152">
        <f>AM14+AM17</f>
        <v/>
      </c>
      <c r="AN18" s="152">
        <f>AN14+AN17</f>
        <v/>
      </c>
      <c r="AO18" s="152">
        <f>AO14+AO17</f>
        <v/>
      </c>
      <c r="AP18" s="152">
        <f>AP14+AP17</f>
        <v/>
      </c>
      <c r="AQ18" s="152">
        <f>AQ14+AQ17</f>
        <v/>
      </c>
      <c r="AR18" s="152">
        <f>AR14+AR17</f>
        <v/>
      </c>
      <c r="AS18" s="152">
        <f>AS14+AS17</f>
        <v/>
      </c>
      <c r="AT18" s="152">
        <f>AT14+AT17</f>
        <v/>
      </c>
      <c r="AU18" s="152">
        <f>AU14+AU17</f>
        <v/>
      </c>
      <c r="AV18" s="152">
        <f>AV14+AV17</f>
        <v/>
      </c>
      <c r="AW18" s="152">
        <f>AW14+AW17</f>
        <v/>
      </c>
      <c r="AX18" s="152">
        <f>AX14+AX17</f>
        <v/>
      </c>
      <c r="AY18" s="152">
        <f>AY14+AY17</f>
        <v/>
      </c>
      <c r="AZ18" s="152">
        <f>AZ14+AZ17</f>
        <v/>
      </c>
      <c r="BA18" s="152">
        <f>BA14+BA17</f>
        <v/>
      </c>
      <c r="BB18" s="152">
        <f>BB14+BB17</f>
        <v/>
      </c>
      <c r="BC18" s="152">
        <f>BC14+BC17</f>
        <v/>
      </c>
      <c r="BD18" s="152">
        <f>BD14+BD17</f>
        <v/>
      </c>
      <c r="BE18" s="152">
        <f>BE14+BE17</f>
        <v/>
      </c>
      <c r="BF18" s="152">
        <f>BF14+BF17</f>
        <v/>
      </c>
      <c r="BG18" s="152">
        <f>BG14+BG17</f>
        <v/>
      </c>
      <c r="BH18" s="152">
        <f>BH14+BH17</f>
        <v/>
      </c>
      <c r="BI18" s="152">
        <f>BI14+BI17</f>
        <v/>
      </c>
      <c r="BJ18" s="152">
        <f>BJ14+BJ17</f>
        <v/>
      </c>
      <c r="BL18" s="152">
        <f>N14+N17</f>
        <v/>
      </c>
      <c r="BM18" s="152">
        <f>Z14+Z17</f>
        <v/>
      </c>
      <c r="BN18" s="152">
        <f>AL14+AL17</f>
        <v/>
      </c>
      <c r="BO18" s="152">
        <f>AX14+AX17</f>
        <v/>
      </c>
      <c r="BP18" s="152">
        <f>BJ14+BJ17</f>
        <v/>
      </c>
    </row>
    <row r="20" ht="15" customHeight="1" s="104">
      <c r="A20" s="175" t="inlineStr">
        <is>
          <t>TOTAL ASSETS</t>
        </is>
      </c>
      <c r="C20" s="176">
        <f>C9+C18</f>
        <v/>
      </c>
      <c r="D20" s="176">
        <f>D9+D18</f>
        <v/>
      </c>
      <c r="E20" s="176">
        <f>E9+E18</f>
        <v/>
      </c>
      <c r="F20" s="176">
        <f>F9+F18</f>
        <v/>
      </c>
      <c r="G20" s="176">
        <f>G9+G18</f>
        <v/>
      </c>
      <c r="H20" s="176">
        <f>H9+H18</f>
        <v/>
      </c>
      <c r="I20" s="176">
        <f>I9+I18</f>
        <v/>
      </c>
      <c r="J20" s="176">
        <f>J9+J18</f>
        <v/>
      </c>
      <c r="K20" s="176">
        <f>K9+K18</f>
        <v/>
      </c>
      <c r="L20" s="176">
        <f>L9+L18</f>
        <v/>
      </c>
      <c r="M20" s="176">
        <f>M9+M18</f>
        <v/>
      </c>
      <c r="N20" s="176">
        <f>N9+N18</f>
        <v/>
      </c>
      <c r="O20" s="176">
        <f>O9+O18</f>
        <v/>
      </c>
      <c r="P20" s="176">
        <f>P9+P18</f>
        <v/>
      </c>
      <c r="Q20" s="176">
        <f>Q9+Q18</f>
        <v/>
      </c>
      <c r="R20" s="176">
        <f>R9+R18</f>
        <v/>
      </c>
      <c r="S20" s="176">
        <f>S9+S18</f>
        <v/>
      </c>
      <c r="T20" s="176">
        <f>T9+T18</f>
        <v/>
      </c>
      <c r="U20" s="176">
        <f>U9+U18</f>
        <v/>
      </c>
      <c r="V20" s="176">
        <f>V9+V18</f>
        <v/>
      </c>
      <c r="W20" s="176">
        <f>W9+W18</f>
        <v/>
      </c>
      <c r="X20" s="176">
        <f>X9+X18</f>
        <v/>
      </c>
      <c r="Y20" s="176">
        <f>Y9+Y18</f>
        <v/>
      </c>
      <c r="Z20" s="176">
        <f>Z9+Z18</f>
        <v/>
      </c>
      <c r="AA20" s="176">
        <f>AA9+AA18</f>
        <v/>
      </c>
      <c r="AB20" s="176">
        <f>AB9+AB18</f>
        <v/>
      </c>
      <c r="AC20" s="176">
        <f>AC9+AC18</f>
        <v/>
      </c>
      <c r="AD20" s="176">
        <f>AD9+AD18</f>
        <v/>
      </c>
      <c r="AE20" s="176">
        <f>AE9+AE18</f>
        <v/>
      </c>
      <c r="AF20" s="176">
        <f>AF9+AF18</f>
        <v/>
      </c>
      <c r="AG20" s="176">
        <f>AG9+AG18</f>
        <v/>
      </c>
      <c r="AH20" s="176">
        <f>AH9+AH18</f>
        <v/>
      </c>
      <c r="AI20" s="176">
        <f>AI9+AI18</f>
        <v/>
      </c>
      <c r="AJ20" s="176">
        <f>AJ9+AJ18</f>
        <v/>
      </c>
      <c r="AK20" s="176">
        <f>AK9+AK18</f>
        <v/>
      </c>
      <c r="AL20" s="176">
        <f>AL9+AL18</f>
        <v/>
      </c>
      <c r="AM20" s="176">
        <f>AM9+AM18</f>
        <v/>
      </c>
      <c r="AN20" s="176">
        <f>AN9+AN18</f>
        <v/>
      </c>
      <c r="AO20" s="176">
        <f>AO9+AO18</f>
        <v/>
      </c>
      <c r="AP20" s="176">
        <f>AP9+AP18</f>
        <v/>
      </c>
      <c r="AQ20" s="176">
        <f>AQ9+AQ18</f>
        <v/>
      </c>
      <c r="AR20" s="176">
        <f>AR9+AR18</f>
        <v/>
      </c>
      <c r="AS20" s="176">
        <f>AS9+AS18</f>
        <v/>
      </c>
      <c r="AT20" s="176">
        <f>AT9+AT18</f>
        <v/>
      </c>
      <c r="AU20" s="176">
        <f>AU9+AU18</f>
        <v/>
      </c>
      <c r="AV20" s="176">
        <f>AV9+AV18</f>
        <v/>
      </c>
      <c r="AW20" s="176">
        <f>AW9+AW18</f>
        <v/>
      </c>
      <c r="AX20" s="176">
        <f>AX9+AX18</f>
        <v/>
      </c>
      <c r="AY20" s="176">
        <f>AY9+AY18</f>
        <v/>
      </c>
      <c r="AZ20" s="176">
        <f>AZ9+AZ18</f>
        <v/>
      </c>
      <c r="BA20" s="176">
        <f>BA9+BA18</f>
        <v/>
      </c>
      <c r="BB20" s="176">
        <f>BB9+BB18</f>
        <v/>
      </c>
      <c r="BC20" s="176">
        <f>BC9+BC18</f>
        <v/>
      </c>
      <c r="BD20" s="176">
        <f>BD9+BD18</f>
        <v/>
      </c>
      <c r="BE20" s="176">
        <f>BE9+BE18</f>
        <v/>
      </c>
      <c r="BF20" s="176">
        <f>BF9+BF18</f>
        <v/>
      </c>
      <c r="BG20" s="176">
        <f>BG9+BG18</f>
        <v/>
      </c>
      <c r="BH20" s="176">
        <f>BH9+BH18</f>
        <v/>
      </c>
      <c r="BI20" s="176">
        <f>BI9+BI18</f>
        <v/>
      </c>
      <c r="BJ20" s="176">
        <f>BJ9+BJ18</f>
        <v/>
      </c>
      <c r="BL20" s="176">
        <f>N9+N18</f>
        <v/>
      </c>
      <c r="BM20" s="176">
        <f>Z9+Z18</f>
        <v/>
      </c>
      <c r="BN20" s="176">
        <f>AL9+AL18</f>
        <v/>
      </c>
      <c r="BO20" s="176">
        <f>AX9+AX18</f>
        <v/>
      </c>
      <c r="BP20" s="176">
        <f>BJ9+BJ18</f>
        <v/>
      </c>
    </row>
    <row r="22" ht="13.5" customHeight="1" s="104">
      <c r="A22" s="106" t="inlineStr">
        <is>
          <t>LIABILITIES &amp; EQUITY</t>
        </is>
      </c>
      <c r="B22" s="171" t="n"/>
      <c r="C22" s="171" t="n"/>
      <c r="D22" s="171" t="n"/>
      <c r="E22" s="171" t="n"/>
      <c r="F22" s="171" t="n"/>
      <c r="G22" s="171" t="n"/>
      <c r="H22" s="171" t="n"/>
      <c r="I22" s="171" t="n"/>
      <c r="J22" s="171" t="n"/>
      <c r="K22" s="171" t="n"/>
      <c r="L22" s="171" t="n"/>
      <c r="M22" s="171" t="n"/>
      <c r="N22" s="171" t="n"/>
      <c r="O22" s="171" t="n"/>
      <c r="P22" s="171" t="n"/>
      <c r="Q22" s="171" t="n"/>
      <c r="R22" s="171" t="n"/>
      <c r="S22" s="171" t="n"/>
      <c r="T22" s="171" t="n"/>
      <c r="U22" s="171" t="n"/>
      <c r="V22" s="171" t="n"/>
      <c r="W22" s="171" t="n"/>
      <c r="X22" s="171" t="n"/>
      <c r="Y22" s="171" t="n"/>
      <c r="Z22" s="171" t="n"/>
      <c r="AA22" s="171" t="n"/>
      <c r="AB22" s="171" t="n"/>
      <c r="AC22" s="171" t="n"/>
      <c r="AD22" s="171" t="n"/>
      <c r="AE22" s="171" t="n"/>
      <c r="AF22" s="171" t="n"/>
      <c r="AG22" s="171" t="n"/>
      <c r="AH22" s="171" t="n"/>
      <c r="AI22" s="171" t="n"/>
      <c r="AJ22" s="171" t="n"/>
      <c r="AK22" s="171" t="n"/>
      <c r="AL22" s="171" t="n"/>
      <c r="AM22" s="171" t="n"/>
      <c r="AN22" s="171" t="n"/>
      <c r="AO22" s="171" t="n"/>
      <c r="AP22" s="171" t="n"/>
      <c r="AQ22" s="171" t="n"/>
      <c r="AR22" s="171" t="n"/>
      <c r="AS22" s="171" t="n"/>
      <c r="AT22" s="171" t="n"/>
      <c r="AU22" s="171" t="n"/>
      <c r="AV22" s="171" t="n"/>
      <c r="AW22" s="171" t="n"/>
      <c r="AX22" s="171" t="n"/>
      <c r="AY22" s="171" t="n"/>
      <c r="AZ22" s="171" t="n"/>
      <c r="BA22" s="171" t="n"/>
      <c r="BB22" s="171" t="n"/>
      <c r="BC22" s="171" t="n"/>
      <c r="BD22" s="171" t="n"/>
      <c r="BE22" s="171" t="n"/>
      <c r="BF22" s="171" t="n"/>
      <c r="BG22" s="171" t="n"/>
      <c r="BH22" s="171" t="n"/>
      <c r="BI22" s="171" t="n"/>
      <c r="BJ22" s="171" t="n"/>
      <c r="BK22" s="171" t="n"/>
      <c r="BL22" s="171" t="n"/>
      <c r="BM22" s="171" t="n"/>
      <c r="BN22" s="171" t="n"/>
      <c r="BO22" s="171" t="n"/>
      <c r="BP22" s="171" t="n"/>
    </row>
    <row r="23" ht="15" customHeight="1" s="104">
      <c r="A23" s="153" t="inlineStr">
        <is>
          <t>Current Liabilities</t>
        </is>
      </c>
      <c r="B23" s="172" t="n"/>
      <c r="C23" s="172" t="n"/>
      <c r="D23" s="172" t="n"/>
      <c r="E23" s="172" t="n"/>
      <c r="F23" s="172" t="n"/>
      <c r="G23" s="172" t="n"/>
      <c r="H23" s="172" t="n"/>
      <c r="I23" s="172" t="n"/>
      <c r="J23" s="172" t="n"/>
      <c r="K23" s="172" t="n"/>
      <c r="L23" s="172" t="n"/>
      <c r="M23" s="172" t="n"/>
      <c r="N23" s="172" t="n"/>
      <c r="O23" s="172" t="n"/>
      <c r="P23" s="172" t="n"/>
      <c r="Q23" s="172" t="n"/>
      <c r="R23" s="172" t="n"/>
      <c r="S23" s="172" t="n"/>
      <c r="T23" s="172" t="n"/>
      <c r="U23" s="172" t="n"/>
      <c r="V23" s="172" t="n"/>
      <c r="W23" s="172" t="n"/>
      <c r="X23" s="172" t="n"/>
      <c r="Y23" s="172" t="n"/>
      <c r="Z23" s="172" t="n"/>
      <c r="AA23" s="172" t="n"/>
      <c r="AB23" s="172" t="n"/>
      <c r="AC23" s="172" t="n"/>
      <c r="AD23" s="172" t="n"/>
      <c r="AE23" s="172" t="n"/>
      <c r="AF23" s="172" t="n"/>
      <c r="AG23" s="172" t="n"/>
      <c r="AH23" s="172" t="n"/>
      <c r="AI23" s="172" t="n"/>
      <c r="AJ23" s="172" t="n"/>
      <c r="AK23" s="172" t="n"/>
      <c r="AL23" s="172" t="n"/>
      <c r="AM23" s="172" t="n"/>
      <c r="AN23" s="172" t="n"/>
      <c r="AO23" s="172" t="n"/>
      <c r="AP23" s="172" t="n"/>
      <c r="AQ23" s="172" t="n"/>
      <c r="AR23" s="172" t="n"/>
      <c r="AS23" s="172" t="n"/>
      <c r="AT23" s="172" t="n"/>
      <c r="AU23" s="172" t="n"/>
      <c r="AV23" s="172" t="n"/>
      <c r="AW23" s="172" t="n"/>
      <c r="AX23" s="172" t="n"/>
      <c r="AY23" s="172" t="n"/>
      <c r="AZ23" s="172" t="n"/>
      <c r="BA23" s="172" t="n"/>
      <c r="BB23" s="172" t="n"/>
      <c r="BC23" s="172" t="n"/>
      <c r="BD23" s="172" t="n"/>
      <c r="BE23" s="172" t="n"/>
      <c r="BF23" s="172" t="n"/>
      <c r="BG23" s="172" t="n"/>
      <c r="BH23" s="172" t="n"/>
      <c r="BI23" s="172" t="n"/>
      <c r="BJ23" s="172" t="n"/>
      <c r="BK23" s="172" t="n"/>
      <c r="BL23" s="172" t="n"/>
      <c r="BM23" s="172" t="n"/>
      <c r="BN23" s="172" t="n"/>
      <c r="BO23" s="172" t="n"/>
      <c r="BP23" s="172" t="n"/>
    </row>
    <row r="24" ht="15" customHeight="1" s="104">
      <c r="A24" s="107" t="inlineStr">
        <is>
          <t xml:space="preserve">    Accounts Payable</t>
        </is>
      </c>
      <c r="C24" s="156">
        <f>'Working Capital'!C13</f>
        <v/>
      </c>
      <c r="D24" s="156">
        <f>'Working Capital'!D13</f>
        <v/>
      </c>
      <c r="E24" s="156">
        <f>'Working Capital'!E13</f>
        <v/>
      </c>
      <c r="F24" s="156">
        <f>'Working Capital'!F13</f>
        <v/>
      </c>
      <c r="G24" s="156">
        <f>'Working Capital'!G13</f>
        <v/>
      </c>
      <c r="H24" s="156">
        <f>'Working Capital'!H13</f>
        <v/>
      </c>
      <c r="I24" s="156">
        <f>'Working Capital'!I13</f>
        <v/>
      </c>
      <c r="J24" s="156">
        <f>'Working Capital'!J13</f>
        <v/>
      </c>
      <c r="K24" s="156">
        <f>'Working Capital'!K13</f>
        <v/>
      </c>
      <c r="L24" s="156">
        <f>'Working Capital'!L13</f>
        <v/>
      </c>
      <c r="M24" s="156">
        <f>'Working Capital'!M13</f>
        <v/>
      </c>
      <c r="N24" s="156">
        <f>'Working Capital'!N13</f>
        <v/>
      </c>
      <c r="O24" s="156">
        <f>'Working Capital'!O13</f>
        <v/>
      </c>
      <c r="P24" s="156">
        <f>'Working Capital'!P13</f>
        <v/>
      </c>
      <c r="Q24" s="156">
        <f>'Working Capital'!Q13</f>
        <v/>
      </c>
      <c r="R24" s="156">
        <f>'Working Capital'!R13</f>
        <v/>
      </c>
      <c r="S24" s="156">
        <f>'Working Capital'!S13</f>
        <v/>
      </c>
      <c r="T24" s="156">
        <f>'Working Capital'!T13</f>
        <v/>
      </c>
      <c r="U24" s="156">
        <f>'Working Capital'!U13</f>
        <v/>
      </c>
      <c r="V24" s="156">
        <f>'Working Capital'!V13</f>
        <v/>
      </c>
      <c r="W24" s="156">
        <f>'Working Capital'!W13</f>
        <v/>
      </c>
      <c r="X24" s="156">
        <f>'Working Capital'!X13</f>
        <v/>
      </c>
      <c r="Y24" s="156">
        <f>'Working Capital'!Y13</f>
        <v/>
      </c>
      <c r="Z24" s="156">
        <f>'Working Capital'!Z13</f>
        <v/>
      </c>
      <c r="AA24" s="156">
        <f>'Working Capital'!AA13</f>
        <v/>
      </c>
      <c r="AB24" s="156">
        <f>'Working Capital'!AB13</f>
        <v/>
      </c>
      <c r="AC24" s="156">
        <f>'Working Capital'!AC13</f>
        <v/>
      </c>
      <c r="AD24" s="156">
        <f>'Working Capital'!AD13</f>
        <v/>
      </c>
      <c r="AE24" s="156">
        <f>'Working Capital'!AE13</f>
        <v/>
      </c>
      <c r="AF24" s="156">
        <f>'Working Capital'!AF13</f>
        <v/>
      </c>
      <c r="AG24" s="156">
        <f>'Working Capital'!AG13</f>
        <v/>
      </c>
      <c r="AH24" s="156">
        <f>'Working Capital'!AH13</f>
        <v/>
      </c>
      <c r="AI24" s="156">
        <f>'Working Capital'!AI13</f>
        <v/>
      </c>
      <c r="AJ24" s="156">
        <f>'Working Capital'!AJ13</f>
        <v/>
      </c>
      <c r="AK24" s="156">
        <f>'Working Capital'!AK13</f>
        <v/>
      </c>
      <c r="AL24" s="156">
        <f>'Working Capital'!AL13</f>
        <v/>
      </c>
      <c r="AM24" s="156">
        <f>'Working Capital'!AM13</f>
        <v/>
      </c>
      <c r="AN24" s="156">
        <f>'Working Capital'!AN13</f>
        <v/>
      </c>
      <c r="AO24" s="156">
        <f>'Working Capital'!AO13</f>
        <v/>
      </c>
      <c r="AP24" s="156">
        <f>'Working Capital'!AP13</f>
        <v/>
      </c>
      <c r="AQ24" s="156">
        <f>'Working Capital'!AQ13</f>
        <v/>
      </c>
      <c r="AR24" s="156">
        <f>'Working Capital'!AR13</f>
        <v/>
      </c>
      <c r="AS24" s="156">
        <f>'Working Capital'!AS13</f>
        <v/>
      </c>
      <c r="AT24" s="156">
        <f>'Working Capital'!AT13</f>
        <v/>
      </c>
      <c r="AU24" s="156">
        <f>'Working Capital'!AU13</f>
        <v/>
      </c>
      <c r="AV24" s="156">
        <f>'Working Capital'!AV13</f>
        <v/>
      </c>
      <c r="AW24" s="156">
        <f>'Working Capital'!AW13</f>
        <v/>
      </c>
      <c r="AX24" s="156">
        <f>'Working Capital'!AX13</f>
        <v/>
      </c>
      <c r="AY24" s="156">
        <f>'Working Capital'!AY13</f>
        <v/>
      </c>
      <c r="AZ24" s="156">
        <f>'Working Capital'!AZ13</f>
        <v/>
      </c>
      <c r="BA24" s="156">
        <f>'Working Capital'!BA13</f>
        <v/>
      </c>
      <c r="BB24" s="156">
        <f>'Working Capital'!BB13</f>
        <v/>
      </c>
      <c r="BC24" s="156">
        <f>'Working Capital'!BC13</f>
        <v/>
      </c>
      <c r="BD24" s="156">
        <f>'Working Capital'!BD13</f>
        <v/>
      </c>
      <c r="BE24" s="156">
        <f>'Working Capital'!BE13</f>
        <v/>
      </c>
      <c r="BF24" s="156">
        <f>'Working Capital'!BF13</f>
        <v/>
      </c>
      <c r="BG24" s="156">
        <f>'Working Capital'!BG13</f>
        <v/>
      </c>
      <c r="BH24" s="156">
        <f>'Working Capital'!BH13</f>
        <v/>
      </c>
      <c r="BI24" s="156">
        <f>'Working Capital'!BI13</f>
        <v/>
      </c>
      <c r="BJ24" s="156">
        <f>'Working Capital'!BJ13</f>
        <v/>
      </c>
      <c r="BL24" s="157">
        <f>N24</f>
        <v/>
      </c>
      <c r="BM24" s="157">
        <f>Z24</f>
        <v/>
      </c>
      <c r="BN24" s="157">
        <f>AL24</f>
        <v/>
      </c>
      <c r="BO24" s="157">
        <f>AX24</f>
        <v/>
      </c>
      <c r="BP24" s="157">
        <f>BJ24</f>
        <v/>
      </c>
    </row>
    <row r="25" ht="15" customHeight="1" s="104">
      <c r="A25" s="107" t="inlineStr">
        <is>
          <t xml:space="preserve">    Accrued Liabilities</t>
        </is>
      </c>
      <c r="C25" s="156">
        <f>'Working Capital'!C15</f>
        <v/>
      </c>
      <c r="D25" s="156">
        <f>'Working Capital'!D15</f>
        <v/>
      </c>
      <c r="E25" s="156">
        <f>'Working Capital'!E15</f>
        <v/>
      </c>
      <c r="F25" s="156">
        <f>'Working Capital'!F15</f>
        <v/>
      </c>
      <c r="G25" s="156">
        <f>'Working Capital'!G15</f>
        <v/>
      </c>
      <c r="H25" s="156">
        <f>'Working Capital'!H15</f>
        <v/>
      </c>
      <c r="I25" s="156">
        <f>'Working Capital'!I15</f>
        <v/>
      </c>
      <c r="J25" s="156">
        <f>'Working Capital'!J15</f>
        <v/>
      </c>
      <c r="K25" s="156">
        <f>'Working Capital'!K15</f>
        <v/>
      </c>
      <c r="L25" s="156">
        <f>'Working Capital'!L15</f>
        <v/>
      </c>
      <c r="M25" s="156">
        <f>'Working Capital'!M15</f>
        <v/>
      </c>
      <c r="N25" s="156">
        <f>'Working Capital'!N15</f>
        <v/>
      </c>
      <c r="O25" s="156">
        <f>'Working Capital'!O15</f>
        <v/>
      </c>
      <c r="P25" s="156">
        <f>'Working Capital'!P15</f>
        <v/>
      </c>
      <c r="Q25" s="156">
        <f>'Working Capital'!Q15</f>
        <v/>
      </c>
      <c r="R25" s="156">
        <f>'Working Capital'!R15</f>
        <v/>
      </c>
      <c r="S25" s="156">
        <f>'Working Capital'!S15</f>
        <v/>
      </c>
      <c r="T25" s="156">
        <f>'Working Capital'!T15</f>
        <v/>
      </c>
      <c r="U25" s="156">
        <f>'Working Capital'!U15</f>
        <v/>
      </c>
      <c r="V25" s="156">
        <f>'Working Capital'!V15</f>
        <v/>
      </c>
      <c r="W25" s="156">
        <f>'Working Capital'!W15</f>
        <v/>
      </c>
      <c r="X25" s="156">
        <f>'Working Capital'!X15</f>
        <v/>
      </c>
      <c r="Y25" s="156">
        <f>'Working Capital'!Y15</f>
        <v/>
      </c>
      <c r="Z25" s="156">
        <f>'Working Capital'!Z15</f>
        <v/>
      </c>
      <c r="AA25" s="156">
        <f>'Working Capital'!AA15</f>
        <v/>
      </c>
      <c r="AB25" s="156">
        <f>'Working Capital'!AB15</f>
        <v/>
      </c>
      <c r="AC25" s="156">
        <f>'Working Capital'!AC15</f>
        <v/>
      </c>
      <c r="AD25" s="156">
        <f>'Working Capital'!AD15</f>
        <v/>
      </c>
      <c r="AE25" s="156">
        <f>'Working Capital'!AE15</f>
        <v/>
      </c>
      <c r="AF25" s="156">
        <f>'Working Capital'!AF15</f>
        <v/>
      </c>
      <c r="AG25" s="156">
        <f>'Working Capital'!AG15</f>
        <v/>
      </c>
      <c r="AH25" s="156">
        <f>'Working Capital'!AH15</f>
        <v/>
      </c>
      <c r="AI25" s="156">
        <f>'Working Capital'!AI15</f>
        <v/>
      </c>
      <c r="AJ25" s="156">
        <f>'Working Capital'!AJ15</f>
        <v/>
      </c>
      <c r="AK25" s="156">
        <f>'Working Capital'!AK15</f>
        <v/>
      </c>
      <c r="AL25" s="156">
        <f>'Working Capital'!AL15</f>
        <v/>
      </c>
      <c r="AM25" s="156">
        <f>'Working Capital'!AM15</f>
        <v/>
      </c>
      <c r="AN25" s="156">
        <f>'Working Capital'!AN15</f>
        <v/>
      </c>
      <c r="AO25" s="156">
        <f>'Working Capital'!AO15</f>
        <v/>
      </c>
      <c r="AP25" s="156">
        <f>'Working Capital'!AP15</f>
        <v/>
      </c>
      <c r="AQ25" s="156">
        <f>'Working Capital'!AQ15</f>
        <v/>
      </c>
      <c r="AR25" s="156">
        <f>'Working Capital'!AR15</f>
        <v/>
      </c>
      <c r="AS25" s="156">
        <f>'Working Capital'!AS15</f>
        <v/>
      </c>
      <c r="AT25" s="156">
        <f>'Working Capital'!AT15</f>
        <v/>
      </c>
      <c r="AU25" s="156">
        <f>'Working Capital'!AU15</f>
        <v/>
      </c>
      <c r="AV25" s="156">
        <f>'Working Capital'!AV15</f>
        <v/>
      </c>
      <c r="AW25" s="156">
        <f>'Working Capital'!AW15</f>
        <v/>
      </c>
      <c r="AX25" s="156">
        <f>'Working Capital'!AX15</f>
        <v/>
      </c>
      <c r="AY25" s="156">
        <f>'Working Capital'!AY15</f>
        <v/>
      </c>
      <c r="AZ25" s="156">
        <f>'Working Capital'!AZ15</f>
        <v/>
      </c>
      <c r="BA25" s="156">
        <f>'Working Capital'!BA15</f>
        <v/>
      </c>
      <c r="BB25" s="156">
        <f>'Working Capital'!BB15</f>
        <v/>
      </c>
      <c r="BC25" s="156">
        <f>'Working Capital'!BC15</f>
        <v/>
      </c>
      <c r="BD25" s="156">
        <f>'Working Capital'!BD15</f>
        <v/>
      </c>
      <c r="BE25" s="156">
        <f>'Working Capital'!BE15</f>
        <v/>
      </c>
      <c r="BF25" s="156">
        <f>'Working Capital'!BF15</f>
        <v/>
      </c>
      <c r="BG25" s="156">
        <f>'Working Capital'!BG15</f>
        <v/>
      </c>
      <c r="BH25" s="156">
        <f>'Working Capital'!BH15</f>
        <v/>
      </c>
      <c r="BI25" s="156">
        <f>'Working Capital'!BI15</f>
        <v/>
      </c>
      <c r="BJ25" s="156">
        <f>'Working Capital'!BJ15</f>
        <v/>
      </c>
      <c r="BL25" s="157">
        <f>N25</f>
        <v/>
      </c>
      <c r="BM25" s="157">
        <f>Z25</f>
        <v/>
      </c>
      <c r="BN25" s="157">
        <f>AL25</f>
        <v/>
      </c>
      <c r="BO25" s="157">
        <f>AX25</f>
        <v/>
      </c>
      <c r="BP25" s="157">
        <f>BJ25</f>
        <v/>
      </c>
    </row>
    <row r="26" ht="15" customHeight="1" s="104">
      <c r="A26" s="116" t="inlineStr">
        <is>
          <t>Total Current Liabilities</t>
        </is>
      </c>
      <c r="C26" s="152">
        <f>C24+C25</f>
        <v/>
      </c>
      <c r="D26" s="152">
        <f>D24+D25</f>
        <v/>
      </c>
      <c r="E26" s="152">
        <f>E24+E25</f>
        <v/>
      </c>
      <c r="F26" s="152">
        <f>F24+F25</f>
        <v/>
      </c>
      <c r="G26" s="152">
        <f>G24+G25</f>
        <v/>
      </c>
      <c r="H26" s="152">
        <f>H24+H25</f>
        <v/>
      </c>
      <c r="I26" s="152">
        <f>I24+I25</f>
        <v/>
      </c>
      <c r="J26" s="152">
        <f>J24+J25</f>
        <v/>
      </c>
      <c r="K26" s="152">
        <f>K24+K25</f>
        <v/>
      </c>
      <c r="L26" s="152">
        <f>L24+L25</f>
        <v/>
      </c>
      <c r="M26" s="152">
        <f>M24+M25</f>
        <v/>
      </c>
      <c r="N26" s="152">
        <f>N24+N25</f>
        <v/>
      </c>
      <c r="O26" s="152">
        <f>O24+O25</f>
        <v/>
      </c>
      <c r="P26" s="152">
        <f>P24+P25</f>
        <v/>
      </c>
      <c r="Q26" s="152">
        <f>Q24+Q25</f>
        <v/>
      </c>
      <c r="R26" s="152">
        <f>R24+R25</f>
        <v/>
      </c>
      <c r="S26" s="152">
        <f>S24+S25</f>
        <v/>
      </c>
      <c r="T26" s="152">
        <f>T24+T25</f>
        <v/>
      </c>
      <c r="U26" s="152">
        <f>U24+U25</f>
        <v/>
      </c>
      <c r="V26" s="152">
        <f>V24+V25</f>
        <v/>
      </c>
      <c r="W26" s="152">
        <f>W24+W25</f>
        <v/>
      </c>
      <c r="X26" s="152">
        <f>X24+X25</f>
        <v/>
      </c>
      <c r="Y26" s="152">
        <f>Y24+Y25</f>
        <v/>
      </c>
      <c r="Z26" s="152">
        <f>Z24+Z25</f>
        <v/>
      </c>
      <c r="AA26" s="152">
        <f>AA24+AA25</f>
        <v/>
      </c>
      <c r="AB26" s="152">
        <f>AB24+AB25</f>
        <v/>
      </c>
      <c r="AC26" s="152">
        <f>AC24+AC25</f>
        <v/>
      </c>
      <c r="AD26" s="152">
        <f>AD24+AD25</f>
        <v/>
      </c>
      <c r="AE26" s="152">
        <f>AE24+AE25</f>
        <v/>
      </c>
      <c r="AF26" s="152">
        <f>AF24+AF25</f>
        <v/>
      </c>
      <c r="AG26" s="152">
        <f>AG24+AG25</f>
        <v/>
      </c>
      <c r="AH26" s="152">
        <f>AH24+AH25</f>
        <v/>
      </c>
      <c r="AI26" s="152">
        <f>AI24+AI25</f>
        <v/>
      </c>
      <c r="AJ26" s="152">
        <f>AJ24+AJ25</f>
        <v/>
      </c>
      <c r="AK26" s="152">
        <f>AK24+AK25</f>
        <v/>
      </c>
      <c r="AL26" s="152">
        <f>AL24+AL25</f>
        <v/>
      </c>
      <c r="AM26" s="152">
        <f>AM24+AM25</f>
        <v/>
      </c>
      <c r="AN26" s="152">
        <f>AN24+AN25</f>
        <v/>
      </c>
      <c r="AO26" s="152">
        <f>AO24+AO25</f>
        <v/>
      </c>
      <c r="AP26" s="152">
        <f>AP24+AP25</f>
        <v/>
      </c>
      <c r="AQ26" s="152">
        <f>AQ24+AQ25</f>
        <v/>
      </c>
      <c r="AR26" s="152">
        <f>AR24+AR25</f>
        <v/>
      </c>
      <c r="AS26" s="152">
        <f>AS24+AS25</f>
        <v/>
      </c>
      <c r="AT26" s="152">
        <f>AT24+AT25</f>
        <v/>
      </c>
      <c r="AU26" s="152">
        <f>AU24+AU25</f>
        <v/>
      </c>
      <c r="AV26" s="152">
        <f>AV24+AV25</f>
        <v/>
      </c>
      <c r="AW26" s="152">
        <f>AW24+AW25</f>
        <v/>
      </c>
      <c r="AX26" s="152">
        <f>AX24+AX25</f>
        <v/>
      </c>
      <c r="AY26" s="152">
        <f>AY24+AY25</f>
        <v/>
      </c>
      <c r="AZ26" s="152">
        <f>AZ24+AZ25</f>
        <v/>
      </c>
      <c r="BA26" s="152">
        <f>BA24+BA25</f>
        <v/>
      </c>
      <c r="BB26" s="152">
        <f>BB24+BB25</f>
        <v/>
      </c>
      <c r="BC26" s="152">
        <f>BC24+BC25</f>
        <v/>
      </c>
      <c r="BD26" s="152">
        <f>BD24+BD25</f>
        <v/>
      </c>
      <c r="BE26" s="152">
        <f>BE24+BE25</f>
        <v/>
      </c>
      <c r="BF26" s="152">
        <f>BF24+BF25</f>
        <v/>
      </c>
      <c r="BG26" s="152">
        <f>BG24+BG25</f>
        <v/>
      </c>
      <c r="BH26" s="152">
        <f>BH24+BH25</f>
        <v/>
      </c>
      <c r="BI26" s="152">
        <f>BI24+BI25</f>
        <v/>
      </c>
      <c r="BJ26" s="152">
        <f>BJ24+BJ25</f>
        <v/>
      </c>
      <c r="BL26" s="152">
        <f>N24+N25</f>
        <v/>
      </c>
      <c r="BM26" s="152">
        <f>Z24+Z25</f>
        <v/>
      </c>
      <c r="BN26" s="152">
        <f>AL24+AL25</f>
        <v/>
      </c>
      <c r="BO26" s="152">
        <f>AX24+AX25</f>
        <v/>
      </c>
      <c r="BP26" s="152">
        <f>BJ24+BJ25</f>
        <v/>
      </c>
    </row>
    <row r="28" ht="15" customHeight="1" s="104">
      <c r="A28" s="153" t="inlineStr">
        <is>
          <t>Long-Term Liabilities</t>
        </is>
      </c>
      <c r="B28" s="172" t="n"/>
      <c r="C28" s="172" t="n"/>
      <c r="D28" s="172" t="n"/>
      <c r="E28" s="172" t="n"/>
      <c r="F28" s="172" t="n"/>
      <c r="G28" s="172" t="n"/>
      <c r="H28" s="172" t="n"/>
      <c r="I28" s="172" t="n"/>
      <c r="J28" s="172" t="n"/>
      <c r="K28" s="172" t="n"/>
      <c r="L28" s="172" t="n"/>
      <c r="M28" s="172" t="n"/>
      <c r="N28" s="172" t="n"/>
      <c r="O28" s="172" t="n"/>
      <c r="P28" s="172" t="n"/>
      <c r="Q28" s="172" t="n"/>
      <c r="R28" s="172" t="n"/>
      <c r="S28" s="172" t="n"/>
      <c r="T28" s="172" t="n"/>
      <c r="U28" s="172" t="n"/>
      <c r="V28" s="172" t="n"/>
      <c r="W28" s="172" t="n"/>
      <c r="X28" s="172" t="n"/>
      <c r="Y28" s="172" t="n"/>
      <c r="Z28" s="172" t="n"/>
      <c r="AA28" s="172" t="n"/>
      <c r="AB28" s="172" t="n"/>
      <c r="AC28" s="172" t="n"/>
      <c r="AD28" s="172" t="n"/>
      <c r="AE28" s="172" t="n"/>
      <c r="AF28" s="172" t="n"/>
      <c r="AG28" s="172" t="n"/>
      <c r="AH28" s="172" t="n"/>
      <c r="AI28" s="172" t="n"/>
      <c r="AJ28" s="172" t="n"/>
      <c r="AK28" s="172" t="n"/>
      <c r="AL28" s="172" t="n"/>
      <c r="AM28" s="172" t="n"/>
      <c r="AN28" s="172" t="n"/>
      <c r="AO28" s="172" t="n"/>
      <c r="AP28" s="172" t="n"/>
      <c r="AQ28" s="172" t="n"/>
      <c r="AR28" s="172" t="n"/>
      <c r="AS28" s="172" t="n"/>
      <c r="AT28" s="172" t="n"/>
      <c r="AU28" s="172" t="n"/>
      <c r="AV28" s="172" t="n"/>
      <c r="AW28" s="172" t="n"/>
      <c r="AX28" s="172" t="n"/>
      <c r="AY28" s="172" t="n"/>
      <c r="AZ28" s="172" t="n"/>
      <c r="BA28" s="172" t="n"/>
      <c r="BB28" s="172" t="n"/>
      <c r="BC28" s="172" t="n"/>
      <c r="BD28" s="172" t="n"/>
      <c r="BE28" s="172" t="n"/>
      <c r="BF28" s="172" t="n"/>
      <c r="BG28" s="172" t="n"/>
      <c r="BH28" s="172" t="n"/>
      <c r="BI28" s="172" t="n"/>
      <c r="BJ28" s="172" t="n"/>
      <c r="BK28" s="172" t="n"/>
      <c r="BL28" s="172" t="n"/>
      <c r="BM28" s="172" t="n"/>
      <c r="BN28" s="172" t="n"/>
      <c r="BO28" s="172" t="n"/>
      <c r="BP28" s="172" t="n"/>
    </row>
    <row r="29" ht="15" customHeight="1" s="104">
      <c r="A29" s="107" t="inlineStr">
        <is>
          <t xml:space="preserve">    Long-Term Debt</t>
        </is>
      </c>
      <c r="C29" s="156">
        <f>'Debt Schedule'!C19</f>
        <v/>
      </c>
      <c r="D29" s="156">
        <f>'Debt Schedule'!D19</f>
        <v/>
      </c>
      <c r="E29" s="156">
        <f>'Debt Schedule'!E19</f>
        <v/>
      </c>
      <c r="F29" s="156">
        <f>'Debt Schedule'!F19</f>
        <v/>
      </c>
      <c r="G29" s="156">
        <f>'Debt Schedule'!G19</f>
        <v/>
      </c>
      <c r="H29" s="156">
        <f>'Debt Schedule'!H19</f>
        <v/>
      </c>
      <c r="I29" s="156">
        <f>'Debt Schedule'!I19</f>
        <v/>
      </c>
      <c r="J29" s="156">
        <f>'Debt Schedule'!J19</f>
        <v/>
      </c>
      <c r="K29" s="156">
        <f>'Debt Schedule'!K19</f>
        <v/>
      </c>
      <c r="L29" s="156">
        <f>'Debt Schedule'!L19</f>
        <v/>
      </c>
      <c r="M29" s="156">
        <f>'Debt Schedule'!M19</f>
        <v/>
      </c>
      <c r="N29" s="156">
        <f>'Debt Schedule'!N19</f>
        <v/>
      </c>
      <c r="O29" s="156">
        <f>'Debt Schedule'!O19</f>
        <v/>
      </c>
      <c r="P29" s="156">
        <f>'Debt Schedule'!P19</f>
        <v/>
      </c>
      <c r="Q29" s="156">
        <f>'Debt Schedule'!Q19</f>
        <v/>
      </c>
      <c r="R29" s="156">
        <f>'Debt Schedule'!R19</f>
        <v/>
      </c>
      <c r="S29" s="156">
        <f>'Debt Schedule'!S19</f>
        <v/>
      </c>
      <c r="T29" s="156">
        <f>'Debt Schedule'!T19</f>
        <v/>
      </c>
      <c r="U29" s="156">
        <f>'Debt Schedule'!U19</f>
        <v/>
      </c>
      <c r="V29" s="156">
        <f>'Debt Schedule'!V19</f>
        <v/>
      </c>
      <c r="W29" s="156">
        <f>'Debt Schedule'!W19</f>
        <v/>
      </c>
      <c r="X29" s="156">
        <f>'Debt Schedule'!X19</f>
        <v/>
      </c>
      <c r="Y29" s="156">
        <f>'Debt Schedule'!Y19</f>
        <v/>
      </c>
      <c r="Z29" s="156">
        <f>'Debt Schedule'!Z19</f>
        <v/>
      </c>
      <c r="AA29" s="156">
        <f>'Debt Schedule'!AA19</f>
        <v/>
      </c>
      <c r="AB29" s="156">
        <f>'Debt Schedule'!AB19</f>
        <v/>
      </c>
      <c r="AC29" s="156">
        <f>'Debt Schedule'!AC19</f>
        <v/>
      </c>
      <c r="AD29" s="156">
        <f>'Debt Schedule'!AD19</f>
        <v/>
      </c>
      <c r="AE29" s="156">
        <f>'Debt Schedule'!AE19</f>
        <v/>
      </c>
      <c r="AF29" s="156">
        <f>'Debt Schedule'!AF19</f>
        <v/>
      </c>
      <c r="AG29" s="156">
        <f>'Debt Schedule'!AG19</f>
        <v/>
      </c>
      <c r="AH29" s="156">
        <f>'Debt Schedule'!AH19</f>
        <v/>
      </c>
      <c r="AI29" s="156">
        <f>'Debt Schedule'!AI19</f>
        <v/>
      </c>
      <c r="AJ29" s="156">
        <f>'Debt Schedule'!AJ19</f>
        <v/>
      </c>
      <c r="AK29" s="156">
        <f>'Debt Schedule'!AK19</f>
        <v/>
      </c>
      <c r="AL29" s="156">
        <f>'Debt Schedule'!AL19</f>
        <v/>
      </c>
      <c r="AM29" s="156">
        <f>'Debt Schedule'!AM19</f>
        <v/>
      </c>
      <c r="AN29" s="156">
        <f>'Debt Schedule'!AN19</f>
        <v/>
      </c>
      <c r="AO29" s="156">
        <f>'Debt Schedule'!AO19</f>
        <v/>
      </c>
      <c r="AP29" s="156">
        <f>'Debt Schedule'!AP19</f>
        <v/>
      </c>
      <c r="AQ29" s="156">
        <f>'Debt Schedule'!AQ19</f>
        <v/>
      </c>
      <c r="AR29" s="156">
        <f>'Debt Schedule'!AR19</f>
        <v/>
      </c>
      <c r="AS29" s="156">
        <f>'Debt Schedule'!AS19</f>
        <v/>
      </c>
      <c r="AT29" s="156">
        <f>'Debt Schedule'!AT19</f>
        <v/>
      </c>
      <c r="AU29" s="156">
        <f>'Debt Schedule'!AU19</f>
        <v/>
      </c>
      <c r="AV29" s="156">
        <f>'Debt Schedule'!AV19</f>
        <v/>
      </c>
      <c r="AW29" s="156">
        <f>'Debt Schedule'!AW19</f>
        <v/>
      </c>
      <c r="AX29" s="156">
        <f>'Debt Schedule'!AX19</f>
        <v/>
      </c>
      <c r="AY29" s="156">
        <f>'Debt Schedule'!AY19</f>
        <v/>
      </c>
      <c r="AZ29" s="156">
        <f>'Debt Schedule'!AZ19</f>
        <v/>
      </c>
      <c r="BA29" s="156">
        <f>'Debt Schedule'!BA19</f>
        <v/>
      </c>
      <c r="BB29" s="156">
        <f>'Debt Schedule'!BB19</f>
        <v/>
      </c>
      <c r="BC29" s="156">
        <f>'Debt Schedule'!BC19</f>
        <v/>
      </c>
      <c r="BD29" s="156">
        <f>'Debt Schedule'!BD19</f>
        <v/>
      </c>
      <c r="BE29" s="156">
        <f>'Debt Schedule'!BE19</f>
        <v/>
      </c>
      <c r="BF29" s="156">
        <f>'Debt Schedule'!BF19</f>
        <v/>
      </c>
      <c r="BG29" s="156">
        <f>'Debt Schedule'!BG19</f>
        <v/>
      </c>
      <c r="BH29" s="156">
        <f>'Debt Schedule'!BH19</f>
        <v/>
      </c>
      <c r="BI29" s="156">
        <f>'Debt Schedule'!BI19</f>
        <v/>
      </c>
      <c r="BJ29" s="156">
        <f>'Debt Schedule'!BJ19</f>
        <v/>
      </c>
      <c r="BL29" s="157">
        <f>N29</f>
        <v/>
      </c>
      <c r="BM29" s="157">
        <f>Z29</f>
        <v/>
      </c>
      <c r="BN29" s="157">
        <f>AL29</f>
        <v/>
      </c>
      <c r="BO29" s="157">
        <f>AX29</f>
        <v/>
      </c>
      <c r="BP29" s="157">
        <f>BJ29</f>
        <v/>
      </c>
    </row>
    <row r="30" ht="15" customHeight="1" s="104">
      <c r="A30" s="116" t="inlineStr">
        <is>
          <t>Total Long-Term Liabilities</t>
        </is>
      </c>
      <c r="C30" s="152">
        <f>C29</f>
        <v/>
      </c>
      <c r="D30" s="152">
        <f>D29</f>
        <v/>
      </c>
      <c r="E30" s="152">
        <f>E29</f>
        <v/>
      </c>
      <c r="F30" s="152">
        <f>F29</f>
        <v/>
      </c>
      <c r="G30" s="152">
        <f>G29</f>
        <v/>
      </c>
      <c r="H30" s="152">
        <f>H29</f>
        <v/>
      </c>
      <c r="I30" s="152">
        <f>I29</f>
        <v/>
      </c>
      <c r="J30" s="152">
        <f>J29</f>
        <v/>
      </c>
      <c r="K30" s="152">
        <f>K29</f>
        <v/>
      </c>
      <c r="L30" s="152">
        <f>L29</f>
        <v/>
      </c>
      <c r="M30" s="152">
        <f>M29</f>
        <v/>
      </c>
      <c r="N30" s="152">
        <f>N29</f>
        <v/>
      </c>
      <c r="O30" s="152">
        <f>O29</f>
        <v/>
      </c>
      <c r="P30" s="152">
        <f>P29</f>
        <v/>
      </c>
      <c r="Q30" s="152">
        <f>Q29</f>
        <v/>
      </c>
      <c r="R30" s="152">
        <f>R29</f>
        <v/>
      </c>
      <c r="S30" s="152">
        <f>S29</f>
        <v/>
      </c>
      <c r="T30" s="152">
        <f>T29</f>
        <v/>
      </c>
      <c r="U30" s="152">
        <f>U29</f>
        <v/>
      </c>
      <c r="V30" s="152">
        <f>V29</f>
        <v/>
      </c>
      <c r="W30" s="152">
        <f>W29</f>
        <v/>
      </c>
      <c r="X30" s="152">
        <f>X29</f>
        <v/>
      </c>
      <c r="Y30" s="152">
        <f>Y29</f>
        <v/>
      </c>
      <c r="Z30" s="152">
        <f>Z29</f>
        <v/>
      </c>
      <c r="AA30" s="152">
        <f>AA29</f>
        <v/>
      </c>
      <c r="AB30" s="152">
        <f>AB29</f>
        <v/>
      </c>
      <c r="AC30" s="152">
        <f>AC29</f>
        <v/>
      </c>
      <c r="AD30" s="152">
        <f>AD29</f>
        <v/>
      </c>
      <c r="AE30" s="152">
        <f>AE29</f>
        <v/>
      </c>
      <c r="AF30" s="152">
        <f>AF29</f>
        <v/>
      </c>
      <c r="AG30" s="152">
        <f>AG29</f>
        <v/>
      </c>
      <c r="AH30" s="152">
        <f>AH29</f>
        <v/>
      </c>
      <c r="AI30" s="152">
        <f>AI29</f>
        <v/>
      </c>
      <c r="AJ30" s="152">
        <f>AJ29</f>
        <v/>
      </c>
      <c r="AK30" s="152">
        <f>AK29</f>
        <v/>
      </c>
      <c r="AL30" s="152">
        <f>AL29</f>
        <v/>
      </c>
      <c r="AM30" s="152">
        <f>AM29</f>
        <v/>
      </c>
      <c r="AN30" s="152">
        <f>AN29</f>
        <v/>
      </c>
      <c r="AO30" s="152">
        <f>AO29</f>
        <v/>
      </c>
      <c r="AP30" s="152">
        <f>AP29</f>
        <v/>
      </c>
      <c r="AQ30" s="152">
        <f>AQ29</f>
        <v/>
      </c>
      <c r="AR30" s="152">
        <f>AR29</f>
        <v/>
      </c>
      <c r="AS30" s="152">
        <f>AS29</f>
        <v/>
      </c>
      <c r="AT30" s="152">
        <f>AT29</f>
        <v/>
      </c>
      <c r="AU30" s="152">
        <f>AU29</f>
        <v/>
      </c>
      <c r="AV30" s="152">
        <f>AV29</f>
        <v/>
      </c>
      <c r="AW30" s="152">
        <f>AW29</f>
        <v/>
      </c>
      <c r="AX30" s="152">
        <f>AX29</f>
        <v/>
      </c>
      <c r="AY30" s="152">
        <f>AY29</f>
        <v/>
      </c>
      <c r="AZ30" s="152">
        <f>AZ29</f>
        <v/>
      </c>
      <c r="BA30" s="152">
        <f>BA29</f>
        <v/>
      </c>
      <c r="BB30" s="152">
        <f>BB29</f>
        <v/>
      </c>
      <c r="BC30" s="152">
        <f>BC29</f>
        <v/>
      </c>
      <c r="BD30" s="152">
        <f>BD29</f>
        <v/>
      </c>
      <c r="BE30" s="152">
        <f>BE29</f>
        <v/>
      </c>
      <c r="BF30" s="152">
        <f>BF29</f>
        <v/>
      </c>
      <c r="BG30" s="152">
        <f>BG29</f>
        <v/>
      </c>
      <c r="BH30" s="152">
        <f>BH29</f>
        <v/>
      </c>
      <c r="BI30" s="152">
        <f>BI29</f>
        <v/>
      </c>
      <c r="BJ30" s="152">
        <f>BJ29</f>
        <v/>
      </c>
      <c r="BL30" s="152">
        <f>N29</f>
        <v/>
      </c>
      <c r="BM30" s="152">
        <f>Z29</f>
        <v/>
      </c>
      <c r="BN30" s="152">
        <f>AL29</f>
        <v/>
      </c>
      <c r="BO30" s="152">
        <f>AX29</f>
        <v/>
      </c>
      <c r="BP30" s="152">
        <f>BJ29</f>
        <v/>
      </c>
    </row>
    <row r="32" ht="15" customHeight="1" s="104">
      <c r="A32" s="175" t="inlineStr">
        <is>
          <t>TOTAL LIABILITIES</t>
        </is>
      </c>
      <c r="C32" s="176">
        <f>C26+C30</f>
        <v/>
      </c>
      <c r="D32" s="176">
        <f>D26+D30</f>
        <v/>
      </c>
      <c r="E32" s="176">
        <f>E26+E30</f>
        <v/>
      </c>
      <c r="F32" s="176">
        <f>F26+F30</f>
        <v/>
      </c>
      <c r="G32" s="176">
        <f>G26+G30</f>
        <v/>
      </c>
      <c r="H32" s="176">
        <f>H26+H30</f>
        <v/>
      </c>
      <c r="I32" s="176">
        <f>I26+I30</f>
        <v/>
      </c>
      <c r="J32" s="176">
        <f>J26+J30</f>
        <v/>
      </c>
      <c r="K32" s="176">
        <f>K26+K30</f>
        <v/>
      </c>
      <c r="L32" s="176">
        <f>L26+L30</f>
        <v/>
      </c>
      <c r="M32" s="176">
        <f>M26+M30</f>
        <v/>
      </c>
      <c r="N32" s="176">
        <f>N26+N30</f>
        <v/>
      </c>
      <c r="O32" s="176">
        <f>O26+O30</f>
        <v/>
      </c>
      <c r="P32" s="176">
        <f>P26+P30</f>
        <v/>
      </c>
      <c r="Q32" s="176">
        <f>Q26+Q30</f>
        <v/>
      </c>
      <c r="R32" s="176">
        <f>R26+R30</f>
        <v/>
      </c>
      <c r="S32" s="176">
        <f>S26+S30</f>
        <v/>
      </c>
      <c r="T32" s="176">
        <f>T26+T30</f>
        <v/>
      </c>
      <c r="U32" s="176">
        <f>U26+U30</f>
        <v/>
      </c>
      <c r="V32" s="176">
        <f>V26+V30</f>
        <v/>
      </c>
      <c r="W32" s="176">
        <f>W26+W30</f>
        <v/>
      </c>
      <c r="X32" s="176">
        <f>X26+X30</f>
        <v/>
      </c>
      <c r="Y32" s="176">
        <f>Y26+Y30</f>
        <v/>
      </c>
      <c r="Z32" s="176">
        <f>Z26+Z30</f>
        <v/>
      </c>
      <c r="AA32" s="176">
        <f>AA26+AA30</f>
        <v/>
      </c>
      <c r="AB32" s="176">
        <f>AB26+AB30</f>
        <v/>
      </c>
      <c r="AC32" s="176">
        <f>AC26+AC30</f>
        <v/>
      </c>
      <c r="AD32" s="176">
        <f>AD26+AD30</f>
        <v/>
      </c>
      <c r="AE32" s="176">
        <f>AE26+AE30</f>
        <v/>
      </c>
      <c r="AF32" s="176">
        <f>AF26+AF30</f>
        <v/>
      </c>
      <c r="AG32" s="176">
        <f>AG26+AG30</f>
        <v/>
      </c>
      <c r="AH32" s="176">
        <f>AH26+AH30</f>
        <v/>
      </c>
      <c r="AI32" s="176">
        <f>AI26+AI30</f>
        <v/>
      </c>
      <c r="AJ32" s="176">
        <f>AJ26+AJ30</f>
        <v/>
      </c>
      <c r="AK32" s="176">
        <f>AK26+AK30</f>
        <v/>
      </c>
      <c r="AL32" s="176">
        <f>AL26+AL30</f>
        <v/>
      </c>
      <c r="AM32" s="176">
        <f>AM26+AM30</f>
        <v/>
      </c>
      <c r="AN32" s="176">
        <f>AN26+AN30</f>
        <v/>
      </c>
      <c r="AO32" s="176">
        <f>AO26+AO30</f>
        <v/>
      </c>
      <c r="AP32" s="176">
        <f>AP26+AP30</f>
        <v/>
      </c>
      <c r="AQ32" s="176">
        <f>AQ26+AQ30</f>
        <v/>
      </c>
      <c r="AR32" s="176">
        <f>AR26+AR30</f>
        <v/>
      </c>
      <c r="AS32" s="176">
        <f>AS26+AS30</f>
        <v/>
      </c>
      <c r="AT32" s="176">
        <f>AT26+AT30</f>
        <v/>
      </c>
      <c r="AU32" s="176">
        <f>AU26+AU30</f>
        <v/>
      </c>
      <c r="AV32" s="176">
        <f>AV26+AV30</f>
        <v/>
      </c>
      <c r="AW32" s="176">
        <f>AW26+AW30</f>
        <v/>
      </c>
      <c r="AX32" s="176">
        <f>AX26+AX30</f>
        <v/>
      </c>
      <c r="AY32" s="176">
        <f>AY26+AY30</f>
        <v/>
      </c>
      <c r="AZ32" s="176">
        <f>AZ26+AZ30</f>
        <v/>
      </c>
      <c r="BA32" s="176">
        <f>BA26+BA30</f>
        <v/>
      </c>
      <c r="BB32" s="176">
        <f>BB26+BB30</f>
        <v/>
      </c>
      <c r="BC32" s="176">
        <f>BC26+BC30</f>
        <v/>
      </c>
      <c r="BD32" s="176">
        <f>BD26+BD30</f>
        <v/>
      </c>
      <c r="BE32" s="176">
        <f>BE26+BE30</f>
        <v/>
      </c>
      <c r="BF32" s="176">
        <f>BF26+BF30</f>
        <v/>
      </c>
      <c r="BG32" s="176">
        <f>BG26+BG30</f>
        <v/>
      </c>
      <c r="BH32" s="176">
        <f>BH26+BH30</f>
        <v/>
      </c>
      <c r="BI32" s="176">
        <f>BI26+BI30</f>
        <v/>
      </c>
      <c r="BJ32" s="176">
        <f>BJ26+BJ30</f>
        <v/>
      </c>
      <c r="BL32" s="176">
        <f>N26+N30</f>
        <v/>
      </c>
      <c r="BM32" s="176">
        <f>Z26+Z30</f>
        <v/>
      </c>
      <c r="BN32" s="176">
        <f>AL26+AL30</f>
        <v/>
      </c>
      <c r="BO32" s="176">
        <f>AX26+AX30</f>
        <v/>
      </c>
      <c r="BP32" s="176">
        <f>BJ26+BJ30</f>
        <v/>
      </c>
    </row>
    <row r="34" ht="15" customHeight="1" s="104">
      <c r="A34" s="153" t="inlineStr">
        <is>
          <t>Shareholders' Equity</t>
        </is>
      </c>
      <c r="B34" s="172" t="n"/>
      <c r="C34" s="172" t="n"/>
      <c r="D34" s="172" t="n"/>
      <c r="E34" s="172" t="n"/>
      <c r="F34" s="172" t="n"/>
      <c r="G34" s="172" t="n"/>
      <c r="H34" s="172" t="n"/>
      <c r="I34" s="172" t="n"/>
      <c r="J34" s="172" t="n"/>
      <c r="K34" s="172" t="n"/>
      <c r="L34" s="172" t="n"/>
      <c r="M34" s="172" t="n"/>
      <c r="N34" s="172" t="n"/>
      <c r="O34" s="172" t="n"/>
      <c r="P34" s="172" t="n"/>
      <c r="Q34" s="172" t="n"/>
      <c r="R34" s="172" t="n"/>
      <c r="S34" s="172" t="n"/>
      <c r="T34" s="172" t="n"/>
      <c r="U34" s="172" t="n"/>
      <c r="V34" s="172" t="n"/>
      <c r="W34" s="172" t="n"/>
      <c r="X34" s="172" t="n"/>
      <c r="Y34" s="172" t="n"/>
      <c r="Z34" s="172" t="n"/>
      <c r="AA34" s="172" t="n"/>
      <c r="AB34" s="172" t="n"/>
      <c r="AC34" s="172" t="n"/>
      <c r="AD34" s="172" t="n"/>
      <c r="AE34" s="172" t="n"/>
      <c r="AF34" s="172" t="n"/>
      <c r="AG34" s="172" t="n"/>
      <c r="AH34" s="172" t="n"/>
      <c r="AI34" s="172" t="n"/>
      <c r="AJ34" s="172" t="n"/>
      <c r="AK34" s="172" t="n"/>
      <c r="AL34" s="172" t="n"/>
      <c r="AM34" s="172" t="n"/>
      <c r="AN34" s="172" t="n"/>
      <c r="AO34" s="172" t="n"/>
      <c r="AP34" s="172" t="n"/>
      <c r="AQ34" s="172" t="n"/>
      <c r="AR34" s="172" t="n"/>
      <c r="AS34" s="172" t="n"/>
      <c r="AT34" s="172" t="n"/>
      <c r="AU34" s="172" t="n"/>
      <c r="AV34" s="172" t="n"/>
      <c r="AW34" s="172" t="n"/>
      <c r="AX34" s="172" t="n"/>
      <c r="AY34" s="172" t="n"/>
      <c r="AZ34" s="172" t="n"/>
      <c r="BA34" s="172" t="n"/>
      <c r="BB34" s="172" t="n"/>
      <c r="BC34" s="172" t="n"/>
      <c r="BD34" s="172" t="n"/>
      <c r="BE34" s="172" t="n"/>
      <c r="BF34" s="172" t="n"/>
      <c r="BG34" s="172" t="n"/>
      <c r="BH34" s="172" t="n"/>
      <c r="BI34" s="172" t="n"/>
      <c r="BJ34" s="172" t="n"/>
      <c r="BK34" s="172" t="n"/>
      <c r="BL34" s="172" t="n"/>
      <c r="BM34" s="172" t="n"/>
      <c r="BN34" s="172" t="n"/>
      <c r="BO34" s="172" t="n"/>
      <c r="BP34" s="172" t="n"/>
    </row>
    <row r="35" ht="15" customHeight="1" s="104">
      <c r="A35" s="107" t="inlineStr">
        <is>
          <t xml:space="preserve">    Contributed Capital</t>
        </is>
      </c>
      <c r="C35" s="156">
        <f>'Cash Flow Statement'!C43+'Cash Flow Statement'!C46+'Working Capital'!C19</f>
        <v/>
      </c>
      <c r="D35" s="156">
        <f>C35+'Cash Flow Statement'!D43+'Cash Flow Statement'!D46+IF((IF(AND(Assumptions!B51&lt;&gt;"",IFERROR(DATEVALUE(TEXT(Assumptions!B51,"MM/DD/YYYY")),0)&gt;=DATE(2026,11,1),IFERROR(DATEVALUE(TEXT(Assumptions!B51,"MM/DD/YYYY")),0)&lt;=DATE(2026,11,30)),1,0)+IF(AND(Assumptions!B52&lt;&gt;"",IFERROR(DATEVALUE(TEXT(Assumptions!B52,"MM/DD/YYYY")),0)&gt;=DATE(2026,11,1),IFERROR(DATEVALUE(TEXT(Assumptions!B52,"MM/DD/YYYY")),0)&lt;=DATE(2026,11,30)),1,0)+IF(AND(Assumptions!B53&lt;&gt;"",IFERROR(DATEVALUE(TEXT(Assumptions!B53,"MM/DD/YYYY")),0)&gt;=DATE(2026,11,1),IFERROR(DATEVALUE(TEXT(Assumptions!B53,"MM/DD/YYYY")),0)&lt;=DATE(2026,11,30)),1,0)+IF(AND(Assumptions!B54&lt;&gt;"",IFERROR(DATEVALUE(TEXT(Assumptions!B54,"MM/DD/YYYY")),0)&gt;=DATE(2026,11,1),IFERROR(DATEVALUE(TEXT(Assumptions!B54,"MM/DD/YYYY")),0)&lt;=DATE(2026,11,30)),1,0)+IF(AND(Assumptions!B55&lt;&gt;"",IFERROR(DATEVALUE(TEXT(Assumptions!B55,"MM/DD/YYYY")),0)&gt;=DATE(2026,11,1),IFERROR(DATEVALUE(TEXT(Assumptions!B55,"MM/DD/YYYY")),0)&lt;=DATE(2026,11,30)),1,0)+IF(AND(Assumptions!B56&lt;&gt;"",IFERROR(DATEVALUE(TEXT(Assumptions!B56,"MM/DD/YYYY")),0)&gt;=DATE(2026,11,1),IFERROR(DATEVALUE(TEXT(Assumptions!B56,"MM/DD/YYYY")),0)&lt;=DATE(2026,11,30)),1,0)+IF(AND(Assumptions!B57&lt;&gt;"",IFERROR(DATEVALUE(TEXT(Assumptions!B57,"MM/DD/YYYY")),0)&gt;=DATE(2026,11,1),IFERROR(DATEVALUE(TEXT(Assumptions!B57,"MM/DD/YYYY")),0)&lt;=DATE(2026,11,30)),1,0)+IF(AND(Assumptions!B58&lt;&gt;"",IFERROR(DATEVALUE(TEXT(Assumptions!B58,"MM/DD/YYYY")),0)&gt;=DATE(2026,11,1),IFERROR(DATEVALUE(TEXT(Assumptions!B58,"MM/DD/YYYY")),0)&lt;=DATE(2026,11,30)),1,0)+IF(AND(Assumptions!B59&lt;&gt;"",IFERROR(DATEVALUE(TEXT(Assumptions!B59,"MM/DD/YYYY")),0)&gt;=DATE(2026,11,1),IFERROR(DATEVALUE(TEXT(Assumptions!B59,"MM/DD/YYYY")),0)&lt;=DATE(2026,11,30)),1,0)+IF(AND(Assumptions!B60&lt;&gt;"",IFERROR(DATEVALUE(TEXT(Assumptions!B60,"MM/DD/YYYY")),0)&gt;=DATE(2026,11,1),IFERROR(DATEVALUE(TEXT(Assumptions!B60,"MM/DD/YYYY")),0)&lt;=DATE(2026,11,30)),1,0))&gt;0,'Working Capital'!D19-'Working Capital'!C19,0)</f>
        <v/>
      </c>
      <c r="E35" s="156">
        <f>D35+'Cash Flow Statement'!E43+'Cash Flow Statement'!E46+IF((IF(AND(Assumptions!B51&lt;&gt;"",IFERROR(DATEVALUE(TEXT(Assumptions!B51,"MM/DD/YYYY")),0)&gt;=DATE(2026,12,1),IFERROR(DATEVALUE(TEXT(Assumptions!B51,"MM/DD/YYYY")),0)&lt;=DATE(2026,12,31)),1,0)+IF(AND(Assumptions!B52&lt;&gt;"",IFERROR(DATEVALUE(TEXT(Assumptions!B52,"MM/DD/YYYY")),0)&gt;=DATE(2026,12,1),IFERROR(DATEVALUE(TEXT(Assumptions!B52,"MM/DD/YYYY")),0)&lt;=DATE(2026,12,31)),1,0)+IF(AND(Assumptions!B53&lt;&gt;"",IFERROR(DATEVALUE(TEXT(Assumptions!B53,"MM/DD/YYYY")),0)&gt;=DATE(2026,12,1),IFERROR(DATEVALUE(TEXT(Assumptions!B53,"MM/DD/YYYY")),0)&lt;=DATE(2026,12,31)),1,0)+IF(AND(Assumptions!B54&lt;&gt;"",IFERROR(DATEVALUE(TEXT(Assumptions!B54,"MM/DD/YYYY")),0)&gt;=DATE(2026,12,1),IFERROR(DATEVALUE(TEXT(Assumptions!B54,"MM/DD/YYYY")),0)&lt;=DATE(2026,12,31)),1,0)+IF(AND(Assumptions!B55&lt;&gt;"",IFERROR(DATEVALUE(TEXT(Assumptions!B55,"MM/DD/YYYY")),0)&gt;=DATE(2026,12,1),IFERROR(DATEVALUE(TEXT(Assumptions!B55,"MM/DD/YYYY")),0)&lt;=DATE(2026,12,31)),1,0)+IF(AND(Assumptions!B56&lt;&gt;"",IFERROR(DATEVALUE(TEXT(Assumptions!B56,"MM/DD/YYYY")),0)&gt;=DATE(2026,12,1),IFERROR(DATEVALUE(TEXT(Assumptions!B56,"MM/DD/YYYY")),0)&lt;=DATE(2026,12,31)),1,0)+IF(AND(Assumptions!B57&lt;&gt;"",IFERROR(DATEVALUE(TEXT(Assumptions!B57,"MM/DD/YYYY")),0)&gt;=DATE(2026,12,1),IFERROR(DATEVALUE(TEXT(Assumptions!B57,"MM/DD/YYYY")),0)&lt;=DATE(2026,12,31)),1,0)+IF(AND(Assumptions!B58&lt;&gt;"",IFERROR(DATEVALUE(TEXT(Assumptions!B58,"MM/DD/YYYY")),0)&gt;=DATE(2026,12,1),IFERROR(DATEVALUE(TEXT(Assumptions!B58,"MM/DD/YYYY")),0)&lt;=DATE(2026,12,31)),1,0)+IF(AND(Assumptions!B59&lt;&gt;"",IFERROR(DATEVALUE(TEXT(Assumptions!B59,"MM/DD/YYYY")),0)&gt;=DATE(2026,12,1),IFERROR(DATEVALUE(TEXT(Assumptions!B59,"MM/DD/YYYY")),0)&lt;=DATE(2026,12,31)),1,0)+IF(AND(Assumptions!B60&lt;&gt;"",IFERROR(DATEVALUE(TEXT(Assumptions!B60,"MM/DD/YYYY")),0)&gt;=DATE(2026,12,1),IFERROR(DATEVALUE(TEXT(Assumptions!B60,"MM/DD/YYYY")),0)&lt;=DATE(2026,12,31)),1,0))&gt;0,'Working Capital'!E19-'Working Capital'!D19,0)</f>
        <v/>
      </c>
      <c r="F35" s="156">
        <f>E35+'Cash Flow Statement'!F43+'Cash Flow Statement'!F46+IF((IF(AND(Assumptions!B51&lt;&gt;"",IFERROR(DATEVALUE(TEXT(Assumptions!B51,"MM/DD/YYYY")),0)&gt;=DATE(2027,1,1),IFERROR(DATEVALUE(TEXT(Assumptions!B51,"MM/DD/YYYY")),0)&lt;=DATE(2027,1,31)),1,0)+IF(AND(Assumptions!B52&lt;&gt;"",IFERROR(DATEVALUE(TEXT(Assumptions!B52,"MM/DD/YYYY")),0)&gt;=DATE(2027,1,1),IFERROR(DATEVALUE(TEXT(Assumptions!B52,"MM/DD/YYYY")),0)&lt;=DATE(2027,1,31)),1,0)+IF(AND(Assumptions!B53&lt;&gt;"",IFERROR(DATEVALUE(TEXT(Assumptions!B53,"MM/DD/YYYY")),0)&gt;=DATE(2027,1,1),IFERROR(DATEVALUE(TEXT(Assumptions!B53,"MM/DD/YYYY")),0)&lt;=DATE(2027,1,31)),1,0)+IF(AND(Assumptions!B54&lt;&gt;"",IFERROR(DATEVALUE(TEXT(Assumptions!B54,"MM/DD/YYYY")),0)&gt;=DATE(2027,1,1),IFERROR(DATEVALUE(TEXT(Assumptions!B54,"MM/DD/YYYY")),0)&lt;=DATE(2027,1,31)),1,0)+IF(AND(Assumptions!B55&lt;&gt;"",IFERROR(DATEVALUE(TEXT(Assumptions!B55,"MM/DD/YYYY")),0)&gt;=DATE(2027,1,1),IFERROR(DATEVALUE(TEXT(Assumptions!B55,"MM/DD/YYYY")),0)&lt;=DATE(2027,1,31)),1,0)+IF(AND(Assumptions!B56&lt;&gt;"",IFERROR(DATEVALUE(TEXT(Assumptions!B56,"MM/DD/YYYY")),0)&gt;=DATE(2027,1,1),IFERROR(DATEVALUE(TEXT(Assumptions!B56,"MM/DD/YYYY")),0)&lt;=DATE(2027,1,31)),1,0)+IF(AND(Assumptions!B57&lt;&gt;"",IFERROR(DATEVALUE(TEXT(Assumptions!B57,"MM/DD/YYYY")),0)&gt;=DATE(2027,1,1),IFERROR(DATEVALUE(TEXT(Assumptions!B57,"MM/DD/YYYY")),0)&lt;=DATE(2027,1,31)),1,0)+IF(AND(Assumptions!B58&lt;&gt;"",IFERROR(DATEVALUE(TEXT(Assumptions!B58,"MM/DD/YYYY")),0)&gt;=DATE(2027,1,1),IFERROR(DATEVALUE(TEXT(Assumptions!B58,"MM/DD/YYYY")),0)&lt;=DATE(2027,1,31)),1,0)+IF(AND(Assumptions!B59&lt;&gt;"",IFERROR(DATEVALUE(TEXT(Assumptions!B59,"MM/DD/YYYY")),0)&gt;=DATE(2027,1,1),IFERROR(DATEVALUE(TEXT(Assumptions!B59,"MM/DD/YYYY")),0)&lt;=DATE(2027,1,31)),1,0)+IF(AND(Assumptions!B60&lt;&gt;"",IFERROR(DATEVALUE(TEXT(Assumptions!B60,"MM/DD/YYYY")),0)&gt;=DATE(2027,1,1),IFERROR(DATEVALUE(TEXT(Assumptions!B60,"MM/DD/YYYY")),0)&lt;=DATE(2027,1,31)),1,0))&gt;0,'Working Capital'!F19-'Working Capital'!E19,0)</f>
        <v/>
      </c>
      <c r="G35" s="156">
        <f>F35+'Cash Flow Statement'!G43+'Cash Flow Statement'!G46+IF((IF(AND(Assumptions!B51&lt;&gt;"",IFERROR(DATEVALUE(TEXT(Assumptions!B51,"MM/DD/YYYY")),0)&gt;=DATE(2027,2,1),IFERROR(DATEVALUE(TEXT(Assumptions!B51,"MM/DD/YYYY")),0)&lt;=DATE(2027,2,28)),1,0)+IF(AND(Assumptions!B52&lt;&gt;"",IFERROR(DATEVALUE(TEXT(Assumptions!B52,"MM/DD/YYYY")),0)&gt;=DATE(2027,2,1),IFERROR(DATEVALUE(TEXT(Assumptions!B52,"MM/DD/YYYY")),0)&lt;=DATE(2027,2,28)),1,0)+IF(AND(Assumptions!B53&lt;&gt;"",IFERROR(DATEVALUE(TEXT(Assumptions!B53,"MM/DD/YYYY")),0)&gt;=DATE(2027,2,1),IFERROR(DATEVALUE(TEXT(Assumptions!B53,"MM/DD/YYYY")),0)&lt;=DATE(2027,2,28)),1,0)+IF(AND(Assumptions!B54&lt;&gt;"",IFERROR(DATEVALUE(TEXT(Assumptions!B54,"MM/DD/YYYY")),0)&gt;=DATE(2027,2,1),IFERROR(DATEVALUE(TEXT(Assumptions!B54,"MM/DD/YYYY")),0)&lt;=DATE(2027,2,28)),1,0)+IF(AND(Assumptions!B55&lt;&gt;"",IFERROR(DATEVALUE(TEXT(Assumptions!B55,"MM/DD/YYYY")),0)&gt;=DATE(2027,2,1),IFERROR(DATEVALUE(TEXT(Assumptions!B55,"MM/DD/YYYY")),0)&lt;=DATE(2027,2,28)),1,0)+IF(AND(Assumptions!B56&lt;&gt;"",IFERROR(DATEVALUE(TEXT(Assumptions!B56,"MM/DD/YYYY")),0)&gt;=DATE(2027,2,1),IFERROR(DATEVALUE(TEXT(Assumptions!B56,"MM/DD/YYYY")),0)&lt;=DATE(2027,2,28)),1,0)+IF(AND(Assumptions!B57&lt;&gt;"",IFERROR(DATEVALUE(TEXT(Assumptions!B57,"MM/DD/YYYY")),0)&gt;=DATE(2027,2,1),IFERROR(DATEVALUE(TEXT(Assumptions!B57,"MM/DD/YYYY")),0)&lt;=DATE(2027,2,28)),1,0)+IF(AND(Assumptions!B58&lt;&gt;"",IFERROR(DATEVALUE(TEXT(Assumptions!B58,"MM/DD/YYYY")),0)&gt;=DATE(2027,2,1),IFERROR(DATEVALUE(TEXT(Assumptions!B58,"MM/DD/YYYY")),0)&lt;=DATE(2027,2,28)),1,0)+IF(AND(Assumptions!B59&lt;&gt;"",IFERROR(DATEVALUE(TEXT(Assumptions!B59,"MM/DD/YYYY")),0)&gt;=DATE(2027,2,1),IFERROR(DATEVALUE(TEXT(Assumptions!B59,"MM/DD/YYYY")),0)&lt;=DATE(2027,2,28)),1,0)+IF(AND(Assumptions!B60&lt;&gt;"",IFERROR(DATEVALUE(TEXT(Assumptions!B60,"MM/DD/YYYY")),0)&gt;=DATE(2027,2,1),IFERROR(DATEVALUE(TEXT(Assumptions!B60,"MM/DD/YYYY")),0)&lt;=DATE(2027,2,28)),1,0))&gt;0,'Working Capital'!G19-'Working Capital'!F19,0)</f>
        <v/>
      </c>
      <c r="H35" s="156">
        <f>G35+'Cash Flow Statement'!H43+'Cash Flow Statement'!H46+IF((IF(AND(Assumptions!B51&lt;&gt;"",IFERROR(DATEVALUE(TEXT(Assumptions!B51,"MM/DD/YYYY")),0)&gt;=DATE(2027,3,1),IFERROR(DATEVALUE(TEXT(Assumptions!B51,"MM/DD/YYYY")),0)&lt;=DATE(2027,3,31)),1,0)+IF(AND(Assumptions!B52&lt;&gt;"",IFERROR(DATEVALUE(TEXT(Assumptions!B52,"MM/DD/YYYY")),0)&gt;=DATE(2027,3,1),IFERROR(DATEVALUE(TEXT(Assumptions!B52,"MM/DD/YYYY")),0)&lt;=DATE(2027,3,31)),1,0)+IF(AND(Assumptions!B53&lt;&gt;"",IFERROR(DATEVALUE(TEXT(Assumptions!B53,"MM/DD/YYYY")),0)&gt;=DATE(2027,3,1),IFERROR(DATEVALUE(TEXT(Assumptions!B53,"MM/DD/YYYY")),0)&lt;=DATE(2027,3,31)),1,0)+IF(AND(Assumptions!B54&lt;&gt;"",IFERROR(DATEVALUE(TEXT(Assumptions!B54,"MM/DD/YYYY")),0)&gt;=DATE(2027,3,1),IFERROR(DATEVALUE(TEXT(Assumptions!B54,"MM/DD/YYYY")),0)&lt;=DATE(2027,3,31)),1,0)+IF(AND(Assumptions!B55&lt;&gt;"",IFERROR(DATEVALUE(TEXT(Assumptions!B55,"MM/DD/YYYY")),0)&gt;=DATE(2027,3,1),IFERROR(DATEVALUE(TEXT(Assumptions!B55,"MM/DD/YYYY")),0)&lt;=DATE(2027,3,31)),1,0)+IF(AND(Assumptions!B56&lt;&gt;"",IFERROR(DATEVALUE(TEXT(Assumptions!B56,"MM/DD/YYYY")),0)&gt;=DATE(2027,3,1),IFERROR(DATEVALUE(TEXT(Assumptions!B56,"MM/DD/YYYY")),0)&lt;=DATE(2027,3,31)),1,0)+IF(AND(Assumptions!B57&lt;&gt;"",IFERROR(DATEVALUE(TEXT(Assumptions!B57,"MM/DD/YYYY")),0)&gt;=DATE(2027,3,1),IFERROR(DATEVALUE(TEXT(Assumptions!B57,"MM/DD/YYYY")),0)&lt;=DATE(2027,3,31)),1,0)+IF(AND(Assumptions!B58&lt;&gt;"",IFERROR(DATEVALUE(TEXT(Assumptions!B58,"MM/DD/YYYY")),0)&gt;=DATE(2027,3,1),IFERROR(DATEVALUE(TEXT(Assumptions!B58,"MM/DD/YYYY")),0)&lt;=DATE(2027,3,31)),1,0)+IF(AND(Assumptions!B59&lt;&gt;"",IFERROR(DATEVALUE(TEXT(Assumptions!B59,"MM/DD/YYYY")),0)&gt;=DATE(2027,3,1),IFERROR(DATEVALUE(TEXT(Assumptions!B59,"MM/DD/YYYY")),0)&lt;=DATE(2027,3,31)),1,0)+IF(AND(Assumptions!B60&lt;&gt;"",IFERROR(DATEVALUE(TEXT(Assumptions!B60,"MM/DD/YYYY")),0)&gt;=DATE(2027,3,1),IFERROR(DATEVALUE(TEXT(Assumptions!B60,"MM/DD/YYYY")),0)&lt;=DATE(2027,3,31)),1,0))&gt;0,'Working Capital'!H19-'Working Capital'!G19,0)</f>
        <v/>
      </c>
      <c r="I35" s="156">
        <f>H35+'Cash Flow Statement'!I43+'Cash Flow Statement'!I46+IF((IF(AND(Assumptions!B51&lt;&gt;"",IFERROR(DATEVALUE(TEXT(Assumptions!B51,"MM/DD/YYYY")),0)&gt;=DATE(2027,4,1),IFERROR(DATEVALUE(TEXT(Assumptions!B51,"MM/DD/YYYY")),0)&lt;=DATE(2027,4,30)),1,0)+IF(AND(Assumptions!B52&lt;&gt;"",IFERROR(DATEVALUE(TEXT(Assumptions!B52,"MM/DD/YYYY")),0)&gt;=DATE(2027,4,1),IFERROR(DATEVALUE(TEXT(Assumptions!B52,"MM/DD/YYYY")),0)&lt;=DATE(2027,4,30)),1,0)+IF(AND(Assumptions!B53&lt;&gt;"",IFERROR(DATEVALUE(TEXT(Assumptions!B53,"MM/DD/YYYY")),0)&gt;=DATE(2027,4,1),IFERROR(DATEVALUE(TEXT(Assumptions!B53,"MM/DD/YYYY")),0)&lt;=DATE(2027,4,30)),1,0)+IF(AND(Assumptions!B54&lt;&gt;"",IFERROR(DATEVALUE(TEXT(Assumptions!B54,"MM/DD/YYYY")),0)&gt;=DATE(2027,4,1),IFERROR(DATEVALUE(TEXT(Assumptions!B54,"MM/DD/YYYY")),0)&lt;=DATE(2027,4,30)),1,0)+IF(AND(Assumptions!B55&lt;&gt;"",IFERROR(DATEVALUE(TEXT(Assumptions!B55,"MM/DD/YYYY")),0)&gt;=DATE(2027,4,1),IFERROR(DATEVALUE(TEXT(Assumptions!B55,"MM/DD/YYYY")),0)&lt;=DATE(2027,4,30)),1,0)+IF(AND(Assumptions!B56&lt;&gt;"",IFERROR(DATEVALUE(TEXT(Assumptions!B56,"MM/DD/YYYY")),0)&gt;=DATE(2027,4,1),IFERROR(DATEVALUE(TEXT(Assumptions!B56,"MM/DD/YYYY")),0)&lt;=DATE(2027,4,30)),1,0)+IF(AND(Assumptions!B57&lt;&gt;"",IFERROR(DATEVALUE(TEXT(Assumptions!B57,"MM/DD/YYYY")),0)&gt;=DATE(2027,4,1),IFERROR(DATEVALUE(TEXT(Assumptions!B57,"MM/DD/YYYY")),0)&lt;=DATE(2027,4,30)),1,0)+IF(AND(Assumptions!B58&lt;&gt;"",IFERROR(DATEVALUE(TEXT(Assumptions!B58,"MM/DD/YYYY")),0)&gt;=DATE(2027,4,1),IFERROR(DATEVALUE(TEXT(Assumptions!B58,"MM/DD/YYYY")),0)&lt;=DATE(2027,4,30)),1,0)+IF(AND(Assumptions!B59&lt;&gt;"",IFERROR(DATEVALUE(TEXT(Assumptions!B59,"MM/DD/YYYY")),0)&gt;=DATE(2027,4,1),IFERROR(DATEVALUE(TEXT(Assumptions!B59,"MM/DD/YYYY")),0)&lt;=DATE(2027,4,30)),1,0)+IF(AND(Assumptions!B60&lt;&gt;"",IFERROR(DATEVALUE(TEXT(Assumptions!B60,"MM/DD/YYYY")),0)&gt;=DATE(2027,4,1),IFERROR(DATEVALUE(TEXT(Assumptions!B60,"MM/DD/YYYY")),0)&lt;=DATE(2027,4,30)),1,0))&gt;0,'Working Capital'!I19-'Working Capital'!H19,0)</f>
        <v/>
      </c>
      <c r="J35" s="156">
        <f>I35+'Cash Flow Statement'!J43+'Cash Flow Statement'!J46+IF((IF(AND(Assumptions!B51&lt;&gt;"",IFERROR(DATEVALUE(TEXT(Assumptions!B51,"MM/DD/YYYY")),0)&gt;=DATE(2027,5,1),IFERROR(DATEVALUE(TEXT(Assumptions!B51,"MM/DD/YYYY")),0)&lt;=DATE(2027,5,31)),1,0)+IF(AND(Assumptions!B52&lt;&gt;"",IFERROR(DATEVALUE(TEXT(Assumptions!B52,"MM/DD/YYYY")),0)&gt;=DATE(2027,5,1),IFERROR(DATEVALUE(TEXT(Assumptions!B52,"MM/DD/YYYY")),0)&lt;=DATE(2027,5,31)),1,0)+IF(AND(Assumptions!B53&lt;&gt;"",IFERROR(DATEVALUE(TEXT(Assumptions!B53,"MM/DD/YYYY")),0)&gt;=DATE(2027,5,1),IFERROR(DATEVALUE(TEXT(Assumptions!B53,"MM/DD/YYYY")),0)&lt;=DATE(2027,5,31)),1,0)+IF(AND(Assumptions!B54&lt;&gt;"",IFERROR(DATEVALUE(TEXT(Assumptions!B54,"MM/DD/YYYY")),0)&gt;=DATE(2027,5,1),IFERROR(DATEVALUE(TEXT(Assumptions!B54,"MM/DD/YYYY")),0)&lt;=DATE(2027,5,31)),1,0)+IF(AND(Assumptions!B55&lt;&gt;"",IFERROR(DATEVALUE(TEXT(Assumptions!B55,"MM/DD/YYYY")),0)&gt;=DATE(2027,5,1),IFERROR(DATEVALUE(TEXT(Assumptions!B55,"MM/DD/YYYY")),0)&lt;=DATE(2027,5,31)),1,0)+IF(AND(Assumptions!B56&lt;&gt;"",IFERROR(DATEVALUE(TEXT(Assumptions!B56,"MM/DD/YYYY")),0)&gt;=DATE(2027,5,1),IFERROR(DATEVALUE(TEXT(Assumptions!B56,"MM/DD/YYYY")),0)&lt;=DATE(2027,5,31)),1,0)+IF(AND(Assumptions!B57&lt;&gt;"",IFERROR(DATEVALUE(TEXT(Assumptions!B57,"MM/DD/YYYY")),0)&gt;=DATE(2027,5,1),IFERROR(DATEVALUE(TEXT(Assumptions!B57,"MM/DD/YYYY")),0)&lt;=DATE(2027,5,31)),1,0)+IF(AND(Assumptions!B58&lt;&gt;"",IFERROR(DATEVALUE(TEXT(Assumptions!B58,"MM/DD/YYYY")),0)&gt;=DATE(2027,5,1),IFERROR(DATEVALUE(TEXT(Assumptions!B58,"MM/DD/YYYY")),0)&lt;=DATE(2027,5,31)),1,0)+IF(AND(Assumptions!B59&lt;&gt;"",IFERROR(DATEVALUE(TEXT(Assumptions!B59,"MM/DD/YYYY")),0)&gt;=DATE(2027,5,1),IFERROR(DATEVALUE(TEXT(Assumptions!B59,"MM/DD/YYYY")),0)&lt;=DATE(2027,5,31)),1,0)+IF(AND(Assumptions!B60&lt;&gt;"",IFERROR(DATEVALUE(TEXT(Assumptions!B60,"MM/DD/YYYY")),0)&gt;=DATE(2027,5,1),IFERROR(DATEVALUE(TEXT(Assumptions!B60,"MM/DD/YYYY")),0)&lt;=DATE(2027,5,31)),1,0))&gt;0,'Working Capital'!J19-'Working Capital'!I19,0)</f>
        <v/>
      </c>
      <c r="K35" s="156">
        <f>J35+'Cash Flow Statement'!K43+'Cash Flow Statement'!K46+IF((IF(AND(Assumptions!B51&lt;&gt;"",IFERROR(DATEVALUE(TEXT(Assumptions!B51,"MM/DD/YYYY")),0)&gt;=DATE(2027,6,1),IFERROR(DATEVALUE(TEXT(Assumptions!B51,"MM/DD/YYYY")),0)&lt;=DATE(2027,6,30)),1,0)+IF(AND(Assumptions!B52&lt;&gt;"",IFERROR(DATEVALUE(TEXT(Assumptions!B52,"MM/DD/YYYY")),0)&gt;=DATE(2027,6,1),IFERROR(DATEVALUE(TEXT(Assumptions!B52,"MM/DD/YYYY")),0)&lt;=DATE(2027,6,30)),1,0)+IF(AND(Assumptions!B53&lt;&gt;"",IFERROR(DATEVALUE(TEXT(Assumptions!B53,"MM/DD/YYYY")),0)&gt;=DATE(2027,6,1),IFERROR(DATEVALUE(TEXT(Assumptions!B53,"MM/DD/YYYY")),0)&lt;=DATE(2027,6,30)),1,0)+IF(AND(Assumptions!B54&lt;&gt;"",IFERROR(DATEVALUE(TEXT(Assumptions!B54,"MM/DD/YYYY")),0)&gt;=DATE(2027,6,1),IFERROR(DATEVALUE(TEXT(Assumptions!B54,"MM/DD/YYYY")),0)&lt;=DATE(2027,6,30)),1,0)+IF(AND(Assumptions!B55&lt;&gt;"",IFERROR(DATEVALUE(TEXT(Assumptions!B55,"MM/DD/YYYY")),0)&gt;=DATE(2027,6,1),IFERROR(DATEVALUE(TEXT(Assumptions!B55,"MM/DD/YYYY")),0)&lt;=DATE(2027,6,30)),1,0)+IF(AND(Assumptions!B56&lt;&gt;"",IFERROR(DATEVALUE(TEXT(Assumptions!B56,"MM/DD/YYYY")),0)&gt;=DATE(2027,6,1),IFERROR(DATEVALUE(TEXT(Assumptions!B56,"MM/DD/YYYY")),0)&lt;=DATE(2027,6,30)),1,0)+IF(AND(Assumptions!B57&lt;&gt;"",IFERROR(DATEVALUE(TEXT(Assumptions!B57,"MM/DD/YYYY")),0)&gt;=DATE(2027,6,1),IFERROR(DATEVALUE(TEXT(Assumptions!B57,"MM/DD/YYYY")),0)&lt;=DATE(2027,6,30)),1,0)+IF(AND(Assumptions!B58&lt;&gt;"",IFERROR(DATEVALUE(TEXT(Assumptions!B58,"MM/DD/YYYY")),0)&gt;=DATE(2027,6,1),IFERROR(DATEVALUE(TEXT(Assumptions!B58,"MM/DD/YYYY")),0)&lt;=DATE(2027,6,30)),1,0)+IF(AND(Assumptions!B59&lt;&gt;"",IFERROR(DATEVALUE(TEXT(Assumptions!B59,"MM/DD/YYYY")),0)&gt;=DATE(2027,6,1),IFERROR(DATEVALUE(TEXT(Assumptions!B59,"MM/DD/YYYY")),0)&lt;=DATE(2027,6,30)),1,0)+IF(AND(Assumptions!B60&lt;&gt;"",IFERROR(DATEVALUE(TEXT(Assumptions!B60,"MM/DD/YYYY")),0)&gt;=DATE(2027,6,1),IFERROR(DATEVALUE(TEXT(Assumptions!B60,"MM/DD/YYYY")),0)&lt;=DATE(2027,6,30)),1,0))&gt;0,'Working Capital'!K19-'Working Capital'!J19,0)</f>
        <v/>
      </c>
      <c r="L35" s="156">
        <f>K35+'Cash Flow Statement'!L43+'Cash Flow Statement'!L46+IF((IF(AND(Assumptions!B51&lt;&gt;"",IFERROR(DATEVALUE(TEXT(Assumptions!B51,"MM/DD/YYYY")),0)&gt;=DATE(2027,7,1),IFERROR(DATEVALUE(TEXT(Assumptions!B51,"MM/DD/YYYY")),0)&lt;=DATE(2027,7,31)),1,0)+IF(AND(Assumptions!B52&lt;&gt;"",IFERROR(DATEVALUE(TEXT(Assumptions!B52,"MM/DD/YYYY")),0)&gt;=DATE(2027,7,1),IFERROR(DATEVALUE(TEXT(Assumptions!B52,"MM/DD/YYYY")),0)&lt;=DATE(2027,7,31)),1,0)+IF(AND(Assumptions!B53&lt;&gt;"",IFERROR(DATEVALUE(TEXT(Assumptions!B53,"MM/DD/YYYY")),0)&gt;=DATE(2027,7,1),IFERROR(DATEVALUE(TEXT(Assumptions!B53,"MM/DD/YYYY")),0)&lt;=DATE(2027,7,31)),1,0)+IF(AND(Assumptions!B54&lt;&gt;"",IFERROR(DATEVALUE(TEXT(Assumptions!B54,"MM/DD/YYYY")),0)&gt;=DATE(2027,7,1),IFERROR(DATEVALUE(TEXT(Assumptions!B54,"MM/DD/YYYY")),0)&lt;=DATE(2027,7,31)),1,0)+IF(AND(Assumptions!B55&lt;&gt;"",IFERROR(DATEVALUE(TEXT(Assumptions!B55,"MM/DD/YYYY")),0)&gt;=DATE(2027,7,1),IFERROR(DATEVALUE(TEXT(Assumptions!B55,"MM/DD/YYYY")),0)&lt;=DATE(2027,7,31)),1,0)+IF(AND(Assumptions!B56&lt;&gt;"",IFERROR(DATEVALUE(TEXT(Assumptions!B56,"MM/DD/YYYY")),0)&gt;=DATE(2027,7,1),IFERROR(DATEVALUE(TEXT(Assumptions!B56,"MM/DD/YYYY")),0)&lt;=DATE(2027,7,31)),1,0)+IF(AND(Assumptions!B57&lt;&gt;"",IFERROR(DATEVALUE(TEXT(Assumptions!B57,"MM/DD/YYYY")),0)&gt;=DATE(2027,7,1),IFERROR(DATEVALUE(TEXT(Assumptions!B57,"MM/DD/YYYY")),0)&lt;=DATE(2027,7,31)),1,0)+IF(AND(Assumptions!B58&lt;&gt;"",IFERROR(DATEVALUE(TEXT(Assumptions!B58,"MM/DD/YYYY")),0)&gt;=DATE(2027,7,1),IFERROR(DATEVALUE(TEXT(Assumptions!B58,"MM/DD/YYYY")),0)&lt;=DATE(2027,7,31)),1,0)+IF(AND(Assumptions!B59&lt;&gt;"",IFERROR(DATEVALUE(TEXT(Assumptions!B59,"MM/DD/YYYY")),0)&gt;=DATE(2027,7,1),IFERROR(DATEVALUE(TEXT(Assumptions!B59,"MM/DD/YYYY")),0)&lt;=DATE(2027,7,31)),1,0)+IF(AND(Assumptions!B60&lt;&gt;"",IFERROR(DATEVALUE(TEXT(Assumptions!B60,"MM/DD/YYYY")),0)&gt;=DATE(2027,7,1),IFERROR(DATEVALUE(TEXT(Assumptions!B60,"MM/DD/YYYY")),0)&lt;=DATE(2027,7,31)),1,0))&gt;0,'Working Capital'!L19-'Working Capital'!K19,0)</f>
        <v/>
      </c>
      <c r="M35" s="156">
        <f>L35+'Cash Flow Statement'!M43+'Cash Flow Statement'!M46+IF((IF(AND(Assumptions!B51&lt;&gt;"",IFERROR(DATEVALUE(TEXT(Assumptions!B51,"MM/DD/YYYY")),0)&gt;=DATE(2027,8,1),IFERROR(DATEVALUE(TEXT(Assumptions!B51,"MM/DD/YYYY")),0)&lt;=DATE(2027,8,31)),1,0)+IF(AND(Assumptions!B52&lt;&gt;"",IFERROR(DATEVALUE(TEXT(Assumptions!B52,"MM/DD/YYYY")),0)&gt;=DATE(2027,8,1),IFERROR(DATEVALUE(TEXT(Assumptions!B52,"MM/DD/YYYY")),0)&lt;=DATE(2027,8,31)),1,0)+IF(AND(Assumptions!B53&lt;&gt;"",IFERROR(DATEVALUE(TEXT(Assumptions!B53,"MM/DD/YYYY")),0)&gt;=DATE(2027,8,1),IFERROR(DATEVALUE(TEXT(Assumptions!B53,"MM/DD/YYYY")),0)&lt;=DATE(2027,8,31)),1,0)+IF(AND(Assumptions!B54&lt;&gt;"",IFERROR(DATEVALUE(TEXT(Assumptions!B54,"MM/DD/YYYY")),0)&gt;=DATE(2027,8,1),IFERROR(DATEVALUE(TEXT(Assumptions!B54,"MM/DD/YYYY")),0)&lt;=DATE(2027,8,31)),1,0)+IF(AND(Assumptions!B55&lt;&gt;"",IFERROR(DATEVALUE(TEXT(Assumptions!B55,"MM/DD/YYYY")),0)&gt;=DATE(2027,8,1),IFERROR(DATEVALUE(TEXT(Assumptions!B55,"MM/DD/YYYY")),0)&lt;=DATE(2027,8,31)),1,0)+IF(AND(Assumptions!B56&lt;&gt;"",IFERROR(DATEVALUE(TEXT(Assumptions!B56,"MM/DD/YYYY")),0)&gt;=DATE(2027,8,1),IFERROR(DATEVALUE(TEXT(Assumptions!B56,"MM/DD/YYYY")),0)&lt;=DATE(2027,8,31)),1,0)+IF(AND(Assumptions!B57&lt;&gt;"",IFERROR(DATEVALUE(TEXT(Assumptions!B57,"MM/DD/YYYY")),0)&gt;=DATE(2027,8,1),IFERROR(DATEVALUE(TEXT(Assumptions!B57,"MM/DD/YYYY")),0)&lt;=DATE(2027,8,31)),1,0)+IF(AND(Assumptions!B58&lt;&gt;"",IFERROR(DATEVALUE(TEXT(Assumptions!B58,"MM/DD/YYYY")),0)&gt;=DATE(2027,8,1),IFERROR(DATEVALUE(TEXT(Assumptions!B58,"MM/DD/YYYY")),0)&lt;=DATE(2027,8,31)),1,0)+IF(AND(Assumptions!B59&lt;&gt;"",IFERROR(DATEVALUE(TEXT(Assumptions!B59,"MM/DD/YYYY")),0)&gt;=DATE(2027,8,1),IFERROR(DATEVALUE(TEXT(Assumptions!B59,"MM/DD/YYYY")),0)&lt;=DATE(2027,8,31)),1,0)+IF(AND(Assumptions!B60&lt;&gt;"",IFERROR(DATEVALUE(TEXT(Assumptions!B60,"MM/DD/YYYY")),0)&gt;=DATE(2027,8,1),IFERROR(DATEVALUE(TEXT(Assumptions!B60,"MM/DD/YYYY")),0)&lt;=DATE(2027,8,31)),1,0))&gt;0,'Working Capital'!M19-'Working Capital'!L19,0)</f>
        <v/>
      </c>
      <c r="N35" s="156">
        <f>M35+'Cash Flow Statement'!N43+'Cash Flow Statement'!N46+IF((IF(AND(Assumptions!B51&lt;&gt;"",IFERROR(DATEVALUE(TEXT(Assumptions!B51,"MM/DD/YYYY")),0)&gt;=DATE(2027,9,1),IFERROR(DATEVALUE(TEXT(Assumptions!B51,"MM/DD/YYYY")),0)&lt;=DATE(2027,9,30)),1,0)+IF(AND(Assumptions!B52&lt;&gt;"",IFERROR(DATEVALUE(TEXT(Assumptions!B52,"MM/DD/YYYY")),0)&gt;=DATE(2027,9,1),IFERROR(DATEVALUE(TEXT(Assumptions!B52,"MM/DD/YYYY")),0)&lt;=DATE(2027,9,30)),1,0)+IF(AND(Assumptions!B53&lt;&gt;"",IFERROR(DATEVALUE(TEXT(Assumptions!B53,"MM/DD/YYYY")),0)&gt;=DATE(2027,9,1),IFERROR(DATEVALUE(TEXT(Assumptions!B53,"MM/DD/YYYY")),0)&lt;=DATE(2027,9,30)),1,0)+IF(AND(Assumptions!B54&lt;&gt;"",IFERROR(DATEVALUE(TEXT(Assumptions!B54,"MM/DD/YYYY")),0)&gt;=DATE(2027,9,1),IFERROR(DATEVALUE(TEXT(Assumptions!B54,"MM/DD/YYYY")),0)&lt;=DATE(2027,9,30)),1,0)+IF(AND(Assumptions!B55&lt;&gt;"",IFERROR(DATEVALUE(TEXT(Assumptions!B55,"MM/DD/YYYY")),0)&gt;=DATE(2027,9,1),IFERROR(DATEVALUE(TEXT(Assumptions!B55,"MM/DD/YYYY")),0)&lt;=DATE(2027,9,30)),1,0)+IF(AND(Assumptions!B56&lt;&gt;"",IFERROR(DATEVALUE(TEXT(Assumptions!B56,"MM/DD/YYYY")),0)&gt;=DATE(2027,9,1),IFERROR(DATEVALUE(TEXT(Assumptions!B56,"MM/DD/YYYY")),0)&lt;=DATE(2027,9,30)),1,0)+IF(AND(Assumptions!B57&lt;&gt;"",IFERROR(DATEVALUE(TEXT(Assumptions!B57,"MM/DD/YYYY")),0)&gt;=DATE(2027,9,1),IFERROR(DATEVALUE(TEXT(Assumptions!B57,"MM/DD/YYYY")),0)&lt;=DATE(2027,9,30)),1,0)+IF(AND(Assumptions!B58&lt;&gt;"",IFERROR(DATEVALUE(TEXT(Assumptions!B58,"MM/DD/YYYY")),0)&gt;=DATE(2027,9,1),IFERROR(DATEVALUE(TEXT(Assumptions!B58,"MM/DD/YYYY")),0)&lt;=DATE(2027,9,30)),1,0)+IF(AND(Assumptions!B59&lt;&gt;"",IFERROR(DATEVALUE(TEXT(Assumptions!B59,"MM/DD/YYYY")),0)&gt;=DATE(2027,9,1),IFERROR(DATEVALUE(TEXT(Assumptions!B59,"MM/DD/YYYY")),0)&lt;=DATE(2027,9,30)),1,0)+IF(AND(Assumptions!B60&lt;&gt;"",IFERROR(DATEVALUE(TEXT(Assumptions!B60,"MM/DD/YYYY")),0)&gt;=DATE(2027,9,1),IFERROR(DATEVALUE(TEXT(Assumptions!B60,"MM/DD/YYYY")),0)&lt;=DATE(2027,9,30)),1,0))&gt;0,'Working Capital'!N19-'Working Capital'!M19,0)</f>
        <v/>
      </c>
      <c r="O35" s="156">
        <f>N35+'Cash Flow Statement'!O43+'Cash Flow Statement'!O46+IF((IF(AND(Assumptions!B51&lt;&gt;"",IFERROR(DATEVALUE(TEXT(Assumptions!B51,"MM/DD/YYYY")),0)&gt;=DATE(2027,10,1),IFERROR(DATEVALUE(TEXT(Assumptions!B51,"MM/DD/YYYY")),0)&lt;=DATE(2027,10,31)),1,0)+IF(AND(Assumptions!B52&lt;&gt;"",IFERROR(DATEVALUE(TEXT(Assumptions!B52,"MM/DD/YYYY")),0)&gt;=DATE(2027,10,1),IFERROR(DATEVALUE(TEXT(Assumptions!B52,"MM/DD/YYYY")),0)&lt;=DATE(2027,10,31)),1,0)+IF(AND(Assumptions!B53&lt;&gt;"",IFERROR(DATEVALUE(TEXT(Assumptions!B53,"MM/DD/YYYY")),0)&gt;=DATE(2027,10,1),IFERROR(DATEVALUE(TEXT(Assumptions!B53,"MM/DD/YYYY")),0)&lt;=DATE(2027,10,31)),1,0)+IF(AND(Assumptions!B54&lt;&gt;"",IFERROR(DATEVALUE(TEXT(Assumptions!B54,"MM/DD/YYYY")),0)&gt;=DATE(2027,10,1),IFERROR(DATEVALUE(TEXT(Assumptions!B54,"MM/DD/YYYY")),0)&lt;=DATE(2027,10,31)),1,0)+IF(AND(Assumptions!B55&lt;&gt;"",IFERROR(DATEVALUE(TEXT(Assumptions!B55,"MM/DD/YYYY")),0)&gt;=DATE(2027,10,1),IFERROR(DATEVALUE(TEXT(Assumptions!B55,"MM/DD/YYYY")),0)&lt;=DATE(2027,10,31)),1,0)+IF(AND(Assumptions!B56&lt;&gt;"",IFERROR(DATEVALUE(TEXT(Assumptions!B56,"MM/DD/YYYY")),0)&gt;=DATE(2027,10,1),IFERROR(DATEVALUE(TEXT(Assumptions!B56,"MM/DD/YYYY")),0)&lt;=DATE(2027,10,31)),1,0)+IF(AND(Assumptions!B57&lt;&gt;"",IFERROR(DATEVALUE(TEXT(Assumptions!B57,"MM/DD/YYYY")),0)&gt;=DATE(2027,10,1),IFERROR(DATEVALUE(TEXT(Assumptions!B57,"MM/DD/YYYY")),0)&lt;=DATE(2027,10,31)),1,0)+IF(AND(Assumptions!B58&lt;&gt;"",IFERROR(DATEVALUE(TEXT(Assumptions!B58,"MM/DD/YYYY")),0)&gt;=DATE(2027,10,1),IFERROR(DATEVALUE(TEXT(Assumptions!B58,"MM/DD/YYYY")),0)&lt;=DATE(2027,10,31)),1,0)+IF(AND(Assumptions!B59&lt;&gt;"",IFERROR(DATEVALUE(TEXT(Assumptions!B59,"MM/DD/YYYY")),0)&gt;=DATE(2027,10,1),IFERROR(DATEVALUE(TEXT(Assumptions!B59,"MM/DD/YYYY")),0)&lt;=DATE(2027,10,31)),1,0)+IF(AND(Assumptions!B60&lt;&gt;"",IFERROR(DATEVALUE(TEXT(Assumptions!B60,"MM/DD/YYYY")),0)&gt;=DATE(2027,10,1),IFERROR(DATEVALUE(TEXT(Assumptions!B60,"MM/DD/YYYY")),0)&lt;=DATE(2027,10,31)),1,0))&gt;0,'Working Capital'!O19-'Working Capital'!N19,0)</f>
        <v/>
      </c>
      <c r="P35" s="156">
        <f>O35+'Cash Flow Statement'!P43+'Cash Flow Statement'!P46+IF((IF(AND(Assumptions!B51&lt;&gt;"",IFERROR(DATEVALUE(TEXT(Assumptions!B51,"MM/DD/YYYY")),0)&gt;=DATE(2027,11,1),IFERROR(DATEVALUE(TEXT(Assumptions!B51,"MM/DD/YYYY")),0)&lt;=DATE(2027,11,30)),1,0)+IF(AND(Assumptions!B52&lt;&gt;"",IFERROR(DATEVALUE(TEXT(Assumptions!B52,"MM/DD/YYYY")),0)&gt;=DATE(2027,11,1),IFERROR(DATEVALUE(TEXT(Assumptions!B52,"MM/DD/YYYY")),0)&lt;=DATE(2027,11,30)),1,0)+IF(AND(Assumptions!B53&lt;&gt;"",IFERROR(DATEVALUE(TEXT(Assumptions!B53,"MM/DD/YYYY")),0)&gt;=DATE(2027,11,1),IFERROR(DATEVALUE(TEXT(Assumptions!B53,"MM/DD/YYYY")),0)&lt;=DATE(2027,11,30)),1,0)+IF(AND(Assumptions!B54&lt;&gt;"",IFERROR(DATEVALUE(TEXT(Assumptions!B54,"MM/DD/YYYY")),0)&gt;=DATE(2027,11,1),IFERROR(DATEVALUE(TEXT(Assumptions!B54,"MM/DD/YYYY")),0)&lt;=DATE(2027,11,30)),1,0)+IF(AND(Assumptions!B55&lt;&gt;"",IFERROR(DATEVALUE(TEXT(Assumptions!B55,"MM/DD/YYYY")),0)&gt;=DATE(2027,11,1),IFERROR(DATEVALUE(TEXT(Assumptions!B55,"MM/DD/YYYY")),0)&lt;=DATE(2027,11,30)),1,0)+IF(AND(Assumptions!B56&lt;&gt;"",IFERROR(DATEVALUE(TEXT(Assumptions!B56,"MM/DD/YYYY")),0)&gt;=DATE(2027,11,1),IFERROR(DATEVALUE(TEXT(Assumptions!B56,"MM/DD/YYYY")),0)&lt;=DATE(2027,11,30)),1,0)+IF(AND(Assumptions!B57&lt;&gt;"",IFERROR(DATEVALUE(TEXT(Assumptions!B57,"MM/DD/YYYY")),0)&gt;=DATE(2027,11,1),IFERROR(DATEVALUE(TEXT(Assumptions!B57,"MM/DD/YYYY")),0)&lt;=DATE(2027,11,30)),1,0)+IF(AND(Assumptions!B58&lt;&gt;"",IFERROR(DATEVALUE(TEXT(Assumptions!B58,"MM/DD/YYYY")),0)&gt;=DATE(2027,11,1),IFERROR(DATEVALUE(TEXT(Assumptions!B58,"MM/DD/YYYY")),0)&lt;=DATE(2027,11,30)),1,0)+IF(AND(Assumptions!B59&lt;&gt;"",IFERROR(DATEVALUE(TEXT(Assumptions!B59,"MM/DD/YYYY")),0)&gt;=DATE(2027,11,1),IFERROR(DATEVALUE(TEXT(Assumptions!B59,"MM/DD/YYYY")),0)&lt;=DATE(2027,11,30)),1,0)+IF(AND(Assumptions!B60&lt;&gt;"",IFERROR(DATEVALUE(TEXT(Assumptions!B60,"MM/DD/YYYY")),0)&gt;=DATE(2027,11,1),IFERROR(DATEVALUE(TEXT(Assumptions!B60,"MM/DD/YYYY")),0)&lt;=DATE(2027,11,30)),1,0))&gt;0,'Working Capital'!P19-'Working Capital'!O19,0)</f>
        <v/>
      </c>
      <c r="Q35" s="156">
        <f>P35+'Cash Flow Statement'!Q43+'Cash Flow Statement'!Q46+IF((IF(AND(Assumptions!B51&lt;&gt;"",IFERROR(DATEVALUE(TEXT(Assumptions!B51,"MM/DD/YYYY")),0)&gt;=DATE(2027,12,1),IFERROR(DATEVALUE(TEXT(Assumptions!B51,"MM/DD/YYYY")),0)&lt;=DATE(2027,12,31)),1,0)+IF(AND(Assumptions!B52&lt;&gt;"",IFERROR(DATEVALUE(TEXT(Assumptions!B52,"MM/DD/YYYY")),0)&gt;=DATE(2027,12,1),IFERROR(DATEVALUE(TEXT(Assumptions!B52,"MM/DD/YYYY")),0)&lt;=DATE(2027,12,31)),1,0)+IF(AND(Assumptions!B53&lt;&gt;"",IFERROR(DATEVALUE(TEXT(Assumptions!B53,"MM/DD/YYYY")),0)&gt;=DATE(2027,12,1),IFERROR(DATEVALUE(TEXT(Assumptions!B53,"MM/DD/YYYY")),0)&lt;=DATE(2027,12,31)),1,0)+IF(AND(Assumptions!B54&lt;&gt;"",IFERROR(DATEVALUE(TEXT(Assumptions!B54,"MM/DD/YYYY")),0)&gt;=DATE(2027,12,1),IFERROR(DATEVALUE(TEXT(Assumptions!B54,"MM/DD/YYYY")),0)&lt;=DATE(2027,12,31)),1,0)+IF(AND(Assumptions!B55&lt;&gt;"",IFERROR(DATEVALUE(TEXT(Assumptions!B55,"MM/DD/YYYY")),0)&gt;=DATE(2027,12,1),IFERROR(DATEVALUE(TEXT(Assumptions!B55,"MM/DD/YYYY")),0)&lt;=DATE(2027,12,31)),1,0)+IF(AND(Assumptions!B56&lt;&gt;"",IFERROR(DATEVALUE(TEXT(Assumptions!B56,"MM/DD/YYYY")),0)&gt;=DATE(2027,12,1),IFERROR(DATEVALUE(TEXT(Assumptions!B56,"MM/DD/YYYY")),0)&lt;=DATE(2027,12,31)),1,0)+IF(AND(Assumptions!B57&lt;&gt;"",IFERROR(DATEVALUE(TEXT(Assumptions!B57,"MM/DD/YYYY")),0)&gt;=DATE(2027,12,1),IFERROR(DATEVALUE(TEXT(Assumptions!B57,"MM/DD/YYYY")),0)&lt;=DATE(2027,12,31)),1,0)+IF(AND(Assumptions!B58&lt;&gt;"",IFERROR(DATEVALUE(TEXT(Assumptions!B58,"MM/DD/YYYY")),0)&gt;=DATE(2027,12,1),IFERROR(DATEVALUE(TEXT(Assumptions!B58,"MM/DD/YYYY")),0)&lt;=DATE(2027,12,31)),1,0)+IF(AND(Assumptions!B59&lt;&gt;"",IFERROR(DATEVALUE(TEXT(Assumptions!B59,"MM/DD/YYYY")),0)&gt;=DATE(2027,12,1),IFERROR(DATEVALUE(TEXT(Assumptions!B59,"MM/DD/YYYY")),0)&lt;=DATE(2027,12,31)),1,0)+IF(AND(Assumptions!B60&lt;&gt;"",IFERROR(DATEVALUE(TEXT(Assumptions!B60,"MM/DD/YYYY")),0)&gt;=DATE(2027,12,1),IFERROR(DATEVALUE(TEXT(Assumptions!B60,"MM/DD/YYYY")),0)&lt;=DATE(2027,12,31)),1,0))&gt;0,'Working Capital'!Q19-'Working Capital'!P19,0)</f>
        <v/>
      </c>
      <c r="R35" s="156">
        <f>Q35+'Cash Flow Statement'!R43+'Cash Flow Statement'!R46+IF((IF(AND(Assumptions!B51&lt;&gt;"",IFERROR(DATEVALUE(TEXT(Assumptions!B51,"MM/DD/YYYY")),0)&gt;=DATE(2028,1,1),IFERROR(DATEVALUE(TEXT(Assumptions!B51,"MM/DD/YYYY")),0)&lt;=DATE(2028,1,31)),1,0)+IF(AND(Assumptions!B52&lt;&gt;"",IFERROR(DATEVALUE(TEXT(Assumptions!B52,"MM/DD/YYYY")),0)&gt;=DATE(2028,1,1),IFERROR(DATEVALUE(TEXT(Assumptions!B52,"MM/DD/YYYY")),0)&lt;=DATE(2028,1,31)),1,0)+IF(AND(Assumptions!B53&lt;&gt;"",IFERROR(DATEVALUE(TEXT(Assumptions!B53,"MM/DD/YYYY")),0)&gt;=DATE(2028,1,1),IFERROR(DATEVALUE(TEXT(Assumptions!B53,"MM/DD/YYYY")),0)&lt;=DATE(2028,1,31)),1,0)+IF(AND(Assumptions!B54&lt;&gt;"",IFERROR(DATEVALUE(TEXT(Assumptions!B54,"MM/DD/YYYY")),0)&gt;=DATE(2028,1,1),IFERROR(DATEVALUE(TEXT(Assumptions!B54,"MM/DD/YYYY")),0)&lt;=DATE(2028,1,31)),1,0)+IF(AND(Assumptions!B55&lt;&gt;"",IFERROR(DATEVALUE(TEXT(Assumptions!B55,"MM/DD/YYYY")),0)&gt;=DATE(2028,1,1),IFERROR(DATEVALUE(TEXT(Assumptions!B55,"MM/DD/YYYY")),0)&lt;=DATE(2028,1,31)),1,0)+IF(AND(Assumptions!B56&lt;&gt;"",IFERROR(DATEVALUE(TEXT(Assumptions!B56,"MM/DD/YYYY")),0)&gt;=DATE(2028,1,1),IFERROR(DATEVALUE(TEXT(Assumptions!B56,"MM/DD/YYYY")),0)&lt;=DATE(2028,1,31)),1,0)+IF(AND(Assumptions!B57&lt;&gt;"",IFERROR(DATEVALUE(TEXT(Assumptions!B57,"MM/DD/YYYY")),0)&gt;=DATE(2028,1,1),IFERROR(DATEVALUE(TEXT(Assumptions!B57,"MM/DD/YYYY")),0)&lt;=DATE(2028,1,31)),1,0)+IF(AND(Assumptions!B58&lt;&gt;"",IFERROR(DATEVALUE(TEXT(Assumptions!B58,"MM/DD/YYYY")),0)&gt;=DATE(2028,1,1),IFERROR(DATEVALUE(TEXT(Assumptions!B58,"MM/DD/YYYY")),0)&lt;=DATE(2028,1,31)),1,0)+IF(AND(Assumptions!B59&lt;&gt;"",IFERROR(DATEVALUE(TEXT(Assumptions!B59,"MM/DD/YYYY")),0)&gt;=DATE(2028,1,1),IFERROR(DATEVALUE(TEXT(Assumptions!B59,"MM/DD/YYYY")),0)&lt;=DATE(2028,1,31)),1,0)+IF(AND(Assumptions!B60&lt;&gt;"",IFERROR(DATEVALUE(TEXT(Assumptions!B60,"MM/DD/YYYY")),0)&gt;=DATE(2028,1,1),IFERROR(DATEVALUE(TEXT(Assumptions!B60,"MM/DD/YYYY")),0)&lt;=DATE(2028,1,31)),1,0))&gt;0,'Working Capital'!R19-'Working Capital'!Q19,0)</f>
        <v/>
      </c>
      <c r="S35" s="156">
        <f>R35+'Cash Flow Statement'!S43+'Cash Flow Statement'!S46+IF((IF(AND(Assumptions!B51&lt;&gt;"",IFERROR(DATEVALUE(TEXT(Assumptions!B51,"MM/DD/YYYY")),0)&gt;=DATE(2028,2,1),IFERROR(DATEVALUE(TEXT(Assumptions!B51,"MM/DD/YYYY")),0)&lt;=DATE(2028,2,29)),1,0)+IF(AND(Assumptions!B52&lt;&gt;"",IFERROR(DATEVALUE(TEXT(Assumptions!B52,"MM/DD/YYYY")),0)&gt;=DATE(2028,2,1),IFERROR(DATEVALUE(TEXT(Assumptions!B52,"MM/DD/YYYY")),0)&lt;=DATE(2028,2,29)),1,0)+IF(AND(Assumptions!B53&lt;&gt;"",IFERROR(DATEVALUE(TEXT(Assumptions!B53,"MM/DD/YYYY")),0)&gt;=DATE(2028,2,1),IFERROR(DATEVALUE(TEXT(Assumptions!B53,"MM/DD/YYYY")),0)&lt;=DATE(2028,2,29)),1,0)+IF(AND(Assumptions!B54&lt;&gt;"",IFERROR(DATEVALUE(TEXT(Assumptions!B54,"MM/DD/YYYY")),0)&gt;=DATE(2028,2,1),IFERROR(DATEVALUE(TEXT(Assumptions!B54,"MM/DD/YYYY")),0)&lt;=DATE(2028,2,29)),1,0)+IF(AND(Assumptions!B55&lt;&gt;"",IFERROR(DATEVALUE(TEXT(Assumptions!B55,"MM/DD/YYYY")),0)&gt;=DATE(2028,2,1),IFERROR(DATEVALUE(TEXT(Assumptions!B55,"MM/DD/YYYY")),0)&lt;=DATE(2028,2,29)),1,0)+IF(AND(Assumptions!B56&lt;&gt;"",IFERROR(DATEVALUE(TEXT(Assumptions!B56,"MM/DD/YYYY")),0)&gt;=DATE(2028,2,1),IFERROR(DATEVALUE(TEXT(Assumptions!B56,"MM/DD/YYYY")),0)&lt;=DATE(2028,2,29)),1,0)+IF(AND(Assumptions!B57&lt;&gt;"",IFERROR(DATEVALUE(TEXT(Assumptions!B57,"MM/DD/YYYY")),0)&gt;=DATE(2028,2,1),IFERROR(DATEVALUE(TEXT(Assumptions!B57,"MM/DD/YYYY")),0)&lt;=DATE(2028,2,29)),1,0)+IF(AND(Assumptions!B58&lt;&gt;"",IFERROR(DATEVALUE(TEXT(Assumptions!B58,"MM/DD/YYYY")),0)&gt;=DATE(2028,2,1),IFERROR(DATEVALUE(TEXT(Assumptions!B58,"MM/DD/YYYY")),0)&lt;=DATE(2028,2,29)),1,0)+IF(AND(Assumptions!B59&lt;&gt;"",IFERROR(DATEVALUE(TEXT(Assumptions!B59,"MM/DD/YYYY")),0)&gt;=DATE(2028,2,1),IFERROR(DATEVALUE(TEXT(Assumptions!B59,"MM/DD/YYYY")),0)&lt;=DATE(2028,2,29)),1,0)+IF(AND(Assumptions!B60&lt;&gt;"",IFERROR(DATEVALUE(TEXT(Assumptions!B60,"MM/DD/YYYY")),0)&gt;=DATE(2028,2,1),IFERROR(DATEVALUE(TEXT(Assumptions!B60,"MM/DD/YYYY")),0)&lt;=DATE(2028,2,29)),1,0))&gt;0,'Working Capital'!S19-'Working Capital'!R19,0)</f>
        <v/>
      </c>
      <c r="T35" s="156">
        <f>S35+'Cash Flow Statement'!T43+'Cash Flow Statement'!T46+IF((IF(AND(Assumptions!B51&lt;&gt;"",IFERROR(DATEVALUE(TEXT(Assumptions!B51,"MM/DD/YYYY")),0)&gt;=DATE(2028,3,1),IFERROR(DATEVALUE(TEXT(Assumptions!B51,"MM/DD/YYYY")),0)&lt;=DATE(2028,3,31)),1,0)+IF(AND(Assumptions!B52&lt;&gt;"",IFERROR(DATEVALUE(TEXT(Assumptions!B52,"MM/DD/YYYY")),0)&gt;=DATE(2028,3,1),IFERROR(DATEVALUE(TEXT(Assumptions!B52,"MM/DD/YYYY")),0)&lt;=DATE(2028,3,31)),1,0)+IF(AND(Assumptions!B53&lt;&gt;"",IFERROR(DATEVALUE(TEXT(Assumptions!B53,"MM/DD/YYYY")),0)&gt;=DATE(2028,3,1),IFERROR(DATEVALUE(TEXT(Assumptions!B53,"MM/DD/YYYY")),0)&lt;=DATE(2028,3,31)),1,0)+IF(AND(Assumptions!B54&lt;&gt;"",IFERROR(DATEVALUE(TEXT(Assumptions!B54,"MM/DD/YYYY")),0)&gt;=DATE(2028,3,1),IFERROR(DATEVALUE(TEXT(Assumptions!B54,"MM/DD/YYYY")),0)&lt;=DATE(2028,3,31)),1,0)+IF(AND(Assumptions!B55&lt;&gt;"",IFERROR(DATEVALUE(TEXT(Assumptions!B55,"MM/DD/YYYY")),0)&gt;=DATE(2028,3,1),IFERROR(DATEVALUE(TEXT(Assumptions!B55,"MM/DD/YYYY")),0)&lt;=DATE(2028,3,31)),1,0)+IF(AND(Assumptions!B56&lt;&gt;"",IFERROR(DATEVALUE(TEXT(Assumptions!B56,"MM/DD/YYYY")),0)&gt;=DATE(2028,3,1),IFERROR(DATEVALUE(TEXT(Assumptions!B56,"MM/DD/YYYY")),0)&lt;=DATE(2028,3,31)),1,0)+IF(AND(Assumptions!B57&lt;&gt;"",IFERROR(DATEVALUE(TEXT(Assumptions!B57,"MM/DD/YYYY")),0)&gt;=DATE(2028,3,1),IFERROR(DATEVALUE(TEXT(Assumptions!B57,"MM/DD/YYYY")),0)&lt;=DATE(2028,3,31)),1,0)+IF(AND(Assumptions!B58&lt;&gt;"",IFERROR(DATEVALUE(TEXT(Assumptions!B58,"MM/DD/YYYY")),0)&gt;=DATE(2028,3,1),IFERROR(DATEVALUE(TEXT(Assumptions!B58,"MM/DD/YYYY")),0)&lt;=DATE(2028,3,31)),1,0)+IF(AND(Assumptions!B59&lt;&gt;"",IFERROR(DATEVALUE(TEXT(Assumptions!B59,"MM/DD/YYYY")),0)&gt;=DATE(2028,3,1),IFERROR(DATEVALUE(TEXT(Assumptions!B59,"MM/DD/YYYY")),0)&lt;=DATE(2028,3,31)),1,0)+IF(AND(Assumptions!B60&lt;&gt;"",IFERROR(DATEVALUE(TEXT(Assumptions!B60,"MM/DD/YYYY")),0)&gt;=DATE(2028,3,1),IFERROR(DATEVALUE(TEXT(Assumptions!B60,"MM/DD/YYYY")),0)&lt;=DATE(2028,3,31)),1,0))&gt;0,'Working Capital'!T19-'Working Capital'!S19,0)</f>
        <v/>
      </c>
      <c r="U35" s="156">
        <f>T35+'Cash Flow Statement'!U43+'Cash Flow Statement'!U46+IF((IF(AND(Assumptions!B51&lt;&gt;"",IFERROR(DATEVALUE(TEXT(Assumptions!B51,"MM/DD/YYYY")),0)&gt;=DATE(2028,4,1),IFERROR(DATEVALUE(TEXT(Assumptions!B51,"MM/DD/YYYY")),0)&lt;=DATE(2028,4,30)),1,0)+IF(AND(Assumptions!B52&lt;&gt;"",IFERROR(DATEVALUE(TEXT(Assumptions!B52,"MM/DD/YYYY")),0)&gt;=DATE(2028,4,1),IFERROR(DATEVALUE(TEXT(Assumptions!B52,"MM/DD/YYYY")),0)&lt;=DATE(2028,4,30)),1,0)+IF(AND(Assumptions!B53&lt;&gt;"",IFERROR(DATEVALUE(TEXT(Assumptions!B53,"MM/DD/YYYY")),0)&gt;=DATE(2028,4,1),IFERROR(DATEVALUE(TEXT(Assumptions!B53,"MM/DD/YYYY")),0)&lt;=DATE(2028,4,30)),1,0)+IF(AND(Assumptions!B54&lt;&gt;"",IFERROR(DATEVALUE(TEXT(Assumptions!B54,"MM/DD/YYYY")),0)&gt;=DATE(2028,4,1),IFERROR(DATEVALUE(TEXT(Assumptions!B54,"MM/DD/YYYY")),0)&lt;=DATE(2028,4,30)),1,0)+IF(AND(Assumptions!B55&lt;&gt;"",IFERROR(DATEVALUE(TEXT(Assumptions!B55,"MM/DD/YYYY")),0)&gt;=DATE(2028,4,1),IFERROR(DATEVALUE(TEXT(Assumptions!B55,"MM/DD/YYYY")),0)&lt;=DATE(2028,4,30)),1,0)+IF(AND(Assumptions!B56&lt;&gt;"",IFERROR(DATEVALUE(TEXT(Assumptions!B56,"MM/DD/YYYY")),0)&gt;=DATE(2028,4,1),IFERROR(DATEVALUE(TEXT(Assumptions!B56,"MM/DD/YYYY")),0)&lt;=DATE(2028,4,30)),1,0)+IF(AND(Assumptions!B57&lt;&gt;"",IFERROR(DATEVALUE(TEXT(Assumptions!B57,"MM/DD/YYYY")),0)&gt;=DATE(2028,4,1),IFERROR(DATEVALUE(TEXT(Assumptions!B57,"MM/DD/YYYY")),0)&lt;=DATE(2028,4,30)),1,0)+IF(AND(Assumptions!B58&lt;&gt;"",IFERROR(DATEVALUE(TEXT(Assumptions!B58,"MM/DD/YYYY")),0)&gt;=DATE(2028,4,1),IFERROR(DATEVALUE(TEXT(Assumptions!B58,"MM/DD/YYYY")),0)&lt;=DATE(2028,4,30)),1,0)+IF(AND(Assumptions!B59&lt;&gt;"",IFERROR(DATEVALUE(TEXT(Assumptions!B59,"MM/DD/YYYY")),0)&gt;=DATE(2028,4,1),IFERROR(DATEVALUE(TEXT(Assumptions!B59,"MM/DD/YYYY")),0)&lt;=DATE(2028,4,30)),1,0)+IF(AND(Assumptions!B60&lt;&gt;"",IFERROR(DATEVALUE(TEXT(Assumptions!B60,"MM/DD/YYYY")),0)&gt;=DATE(2028,4,1),IFERROR(DATEVALUE(TEXT(Assumptions!B60,"MM/DD/YYYY")),0)&lt;=DATE(2028,4,30)),1,0))&gt;0,'Working Capital'!U19-'Working Capital'!T19,0)</f>
        <v/>
      </c>
      <c r="V35" s="156">
        <f>U35+'Cash Flow Statement'!V43+'Cash Flow Statement'!V46+IF((IF(AND(Assumptions!B51&lt;&gt;"",IFERROR(DATEVALUE(TEXT(Assumptions!B51,"MM/DD/YYYY")),0)&gt;=DATE(2028,5,1),IFERROR(DATEVALUE(TEXT(Assumptions!B51,"MM/DD/YYYY")),0)&lt;=DATE(2028,5,31)),1,0)+IF(AND(Assumptions!B52&lt;&gt;"",IFERROR(DATEVALUE(TEXT(Assumptions!B52,"MM/DD/YYYY")),0)&gt;=DATE(2028,5,1),IFERROR(DATEVALUE(TEXT(Assumptions!B52,"MM/DD/YYYY")),0)&lt;=DATE(2028,5,31)),1,0)+IF(AND(Assumptions!B53&lt;&gt;"",IFERROR(DATEVALUE(TEXT(Assumptions!B53,"MM/DD/YYYY")),0)&gt;=DATE(2028,5,1),IFERROR(DATEVALUE(TEXT(Assumptions!B53,"MM/DD/YYYY")),0)&lt;=DATE(2028,5,31)),1,0)+IF(AND(Assumptions!B54&lt;&gt;"",IFERROR(DATEVALUE(TEXT(Assumptions!B54,"MM/DD/YYYY")),0)&gt;=DATE(2028,5,1),IFERROR(DATEVALUE(TEXT(Assumptions!B54,"MM/DD/YYYY")),0)&lt;=DATE(2028,5,31)),1,0)+IF(AND(Assumptions!B55&lt;&gt;"",IFERROR(DATEVALUE(TEXT(Assumptions!B55,"MM/DD/YYYY")),0)&gt;=DATE(2028,5,1),IFERROR(DATEVALUE(TEXT(Assumptions!B55,"MM/DD/YYYY")),0)&lt;=DATE(2028,5,31)),1,0)+IF(AND(Assumptions!B56&lt;&gt;"",IFERROR(DATEVALUE(TEXT(Assumptions!B56,"MM/DD/YYYY")),0)&gt;=DATE(2028,5,1),IFERROR(DATEVALUE(TEXT(Assumptions!B56,"MM/DD/YYYY")),0)&lt;=DATE(2028,5,31)),1,0)+IF(AND(Assumptions!B57&lt;&gt;"",IFERROR(DATEVALUE(TEXT(Assumptions!B57,"MM/DD/YYYY")),0)&gt;=DATE(2028,5,1),IFERROR(DATEVALUE(TEXT(Assumptions!B57,"MM/DD/YYYY")),0)&lt;=DATE(2028,5,31)),1,0)+IF(AND(Assumptions!B58&lt;&gt;"",IFERROR(DATEVALUE(TEXT(Assumptions!B58,"MM/DD/YYYY")),0)&gt;=DATE(2028,5,1),IFERROR(DATEVALUE(TEXT(Assumptions!B58,"MM/DD/YYYY")),0)&lt;=DATE(2028,5,31)),1,0)+IF(AND(Assumptions!B59&lt;&gt;"",IFERROR(DATEVALUE(TEXT(Assumptions!B59,"MM/DD/YYYY")),0)&gt;=DATE(2028,5,1),IFERROR(DATEVALUE(TEXT(Assumptions!B59,"MM/DD/YYYY")),0)&lt;=DATE(2028,5,31)),1,0)+IF(AND(Assumptions!B60&lt;&gt;"",IFERROR(DATEVALUE(TEXT(Assumptions!B60,"MM/DD/YYYY")),0)&gt;=DATE(2028,5,1),IFERROR(DATEVALUE(TEXT(Assumptions!B60,"MM/DD/YYYY")),0)&lt;=DATE(2028,5,31)),1,0))&gt;0,'Working Capital'!V19-'Working Capital'!U19,0)</f>
        <v/>
      </c>
      <c r="W35" s="156">
        <f>V35+'Cash Flow Statement'!W43+'Cash Flow Statement'!W46+IF((IF(AND(Assumptions!B51&lt;&gt;"",IFERROR(DATEVALUE(TEXT(Assumptions!B51,"MM/DD/YYYY")),0)&gt;=DATE(2028,6,1),IFERROR(DATEVALUE(TEXT(Assumptions!B51,"MM/DD/YYYY")),0)&lt;=DATE(2028,6,30)),1,0)+IF(AND(Assumptions!B52&lt;&gt;"",IFERROR(DATEVALUE(TEXT(Assumptions!B52,"MM/DD/YYYY")),0)&gt;=DATE(2028,6,1),IFERROR(DATEVALUE(TEXT(Assumptions!B52,"MM/DD/YYYY")),0)&lt;=DATE(2028,6,30)),1,0)+IF(AND(Assumptions!B53&lt;&gt;"",IFERROR(DATEVALUE(TEXT(Assumptions!B53,"MM/DD/YYYY")),0)&gt;=DATE(2028,6,1),IFERROR(DATEVALUE(TEXT(Assumptions!B53,"MM/DD/YYYY")),0)&lt;=DATE(2028,6,30)),1,0)+IF(AND(Assumptions!B54&lt;&gt;"",IFERROR(DATEVALUE(TEXT(Assumptions!B54,"MM/DD/YYYY")),0)&gt;=DATE(2028,6,1),IFERROR(DATEVALUE(TEXT(Assumptions!B54,"MM/DD/YYYY")),0)&lt;=DATE(2028,6,30)),1,0)+IF(AND(Assumptions!B55&lt;&gt;"",IFERROR(DATEVALUE(TEXT(Assumptions!B55,"MM/DD/YYYY")),0)&gt;=DATE(2028,6,1),IFERROR(DATEVALUE(TEXT(Assumptions!B55,"MM/DD/YYYY")),0)&lt;=DATE(2028,6,30)),1,0)+IF(AND(Assumptions!B56&lt;&gt;"",IFERROR(DATEVALUE(TEXT(Assumptions!B56,"MM/DD/YYYY")),0)&gt;=DATE(2028,6,1),IFERROR(DATEVALUE(TEXT(Assumptions!B56,"MM/DD/YYYY")),0)&lt;=DATE(2028,6,30)),1,0)+IF(AND(Assumptions!B57&lt;&gt;"",IFERROR(DATEVALUE(TEXT(Assumptions!B57,"MM/DD/YYYY")),0)&gt;=DATE(2028,6,1),IFERROR(DATEVALUE(TEXT(Assumptions!B57,"MM/DD/YYYY")),0)&lt;=DATE(2028,6,30)),1,0)+IF(AND(Assumptions!B58&lt;&gt;"",IFERROR(DATEVALUE(TEXT(Assumptions!B58,"MM/DD/YYYY")),0)&gt;=DATE(2028,6,1),IFERROR(DATEVALUE(TEXT(Assumptions!B58,"MM/DD/YYYY")),0)&lt;=DATE(2028,6,30)),1,0)+IF(AND(Assumptions!B59&lt;&gt;"",IFERROR(DATEVALUE(TEXT(Assumptions!B59,"MM/DD/YYYY")),0)&gt;=DATE(2028,6,1),IFERROR(DATEVALUE(TEXT(Assumptions!B59,"MM/DD/YYYY")),0)&lt;=DATE(2028,6,30)),1,0)+IF(AND(Assumptions!B60&lt;&gt;"",IFERROR(DATEVALUE(TEXT(Assumptions!B60,"MM/DD/YYYY")),0)&gt;=DATE(2028,6,1),IFERROR(DATEVALUE(TEXT(Assumptions!B60,"MM/DD/YYYY")),0)&lt;=DATE(2028,6,30)),1,0))&gt;0,'Working Capital'!W19-'Working Capital'!V19,0)</f>
        <v/>
      </c>
      <c r="X35" s="156">
        <f>W35+'Cash Flow Statement'!X43+'Cash Flow Statement'!X46+IF((IF(AND(Assumptions!B51&lt;&gt;"",IFERROR(DATEVALUE(TEXT(Assumptions!B51,"MM/DD/YYYY")),0)&gt;=DATE(2028,7,1),IFERROR(DATEVALUE(TEXT(Assumptions!B51,"MM/DD/YYYY")),0)&lt;=DATE(2028,7,31)),1,0)+IF(AND(Assumptions!B52&lt;&gt;"",IFERROR(DATEVALUE(TEXT(Assumptions!B52,"MM/DD/YYYY")),0)&gt;=DATE(2028,7,1),IFERROR(DATEVALUE(TEXT(Assumptions!B52,"MM/DD/YYYY")),0)&lt;=DATE(2028,7,31)),1,0)+IF(AND(Assumptions!B53&lt;&gt;"",IFERROR(DATEVALUE(TEXT(Assumptions!B53,"MM/DD/YYYY")),0)&gt;=DATE(2028,7,1),IFERROR(DATEVALUE(TEXT(Assumptions!B53,"MM/DD/YYYY")),0)&lt;=DATE(2028,7,31)),1,0)+IF(AND(Assumptions!B54&lt;&gt;"",IFERROR(DATEVALUE(TEXT(Assumptions!B54,"MM/DD/YYYY")),0)&gt;=DATE(2028,7,1),IFERROR(DATEVALUE(TEXT(Assumptions!B54,"MM/DD/YYYY")),0)&lt;=DATE(2028,7,31)),1,0)+IF(AND(Assumptions!B55&lt;&gt;"",IFERROR(DATEVALUE(TEXT(Assumptions!B55,"MM/DD/YYYY")),0)&gt;=DATE(2028,7,1),IFERROR(DATEVALUE(TEXT(Assumptions!B55,"MM/DD/YYYY")),0)&lt;=DATE(2028,7,31)),1,0)+IF(AND(Assumptions!B56&lt;&gt;"",IFERROR(DATEVALUE(TEXT(Assumptions!B56,"MM/DD/YYYY")),0)&gt;=DATE(2028,7,1),IFERROR(DATEVALUE(TEXT(Assumptions!B56,"MM/DD/YYYY")),0)&lt;=DATE(2028,7,31)),1,0)+IF(AND(Assumptions!B57&lt;&gt;"",IFERROR(DATEVALUE(TEXT(Assumptions!B57,"MM/DD/YYYY")),0)&gt;=DATE(2028,7,1),IFERROR(DATEVALUE(TEXT(Assumptions!B57,"MM/DD/YYYY")),0)&lt;=DATE(2028,7,31)),1,0)+IF(AND(Assumptions!B58&lt;&gt;"",IFERROR(DATEVALUE(TEXT(Assumptions!B58,"MM/DD/YYYY")),0)&gt;=DATE(2028,7,1),IFERROR(DATEVALUE(TEXT(Assumptions!B58,"MM/DD/YYYY")),0)&lt;=DATE(2028,7,31)),1,0)+IF(AND(Assumptions!B59&lt;&gt;"",IFERROR(DATEVALUE(TEXT(Assumptions!B59,"MM/DD/YYYY")),0)&gt;=DATE(2028,7,1),IFERROR(DATEVALUE(TEXT(Assumptions!B59,"MM/DD/YYYY")),0)&lt;=DATE(2028,7,31)),1,0)+IF(AND(Assumptions!B60&lt;&gt;"",IFERROR(DATEVALUE(TEXT(Assumptions!B60,"MM/DD/YYYY")),0)&gt;=DATE(2028,7,1),IFERROR(DATEVALUE(TEXT(Assumptions!B60,"MM/DD/YYYY")),0)&lt;=DATE(2028,7,31)),1,0))&gt;0,'Working Capital'!X19-'Working Capital'!W19,0)</f>
        <v/>
      </c>
      <c r="Y35" s="156">
        <f>X35+'Cash Flow Statement'!Y43+'Cash Flow Statement'!Y46+IF((IF(AND(Assumptions!B51&lt;&gt;"",IFERROR(DATEVALUE(TEXT(Assumptions!B51,"MM/DD/YYYY")),0)&gt;=DATE(2028,8,1),IFERROR(DATEVALUE(TEXT(Assumptions!B51,"MM/DD/YYYY")),0)&lt;=DATE(2028,8,31)),1,0)+IF(AND(Assumptions!B52&lt;&gt;"",IFERROR(DATEVALUE(TEXT(Assumptions!B52,"MM/DD/YYYY")),0)&gt;=DATE(2028,8,1),IFERROR(DATEVALUE(TEXT(Assumptions!B52,"MM/DD/YYYY")),0)&lt;=DATE(2028,8,31)),1,0)+IF(AND(Assumptions!B53&lt;&gt;"",IFERROR(DATEVALUE(TEXT(Assumptions!B53,"MM/DD/YYYY")),0)&gt;=DATE(2028,8,1),IFERROR(DATEVALUE(TEXT(Assumptions!B53,"MM/DD/YYYY")),0)&lt;=DATE(2028,8,31)),1,0)+IF(AND(Assumptions!B54&lt;&gt;"",IFERROR(DATEVALUE(TEXT(Assumptions!B54,"MM/DD/YYYY")),0)&gt;=DATE(2028,8,1),IFERROR(DATEVALUE(TEXT(Assumptions!B54,"MM/DD/YYYY")),0)&lt;=DATE(2028,8,31)),1,0)+IF(AND(Assumptions!B55&lt;&gt;"",IFERROR(DATEVALUE(TEXT(Assumptions!B55,"MM/DD/YYYY")),0)&gt;=DATE(2028,8,1),IFERROR(DATEVALUE(TEXT(Assumptions!B55,"MM/DD/YYYY")),0)&lt;=DATE(2028,8,31)),1,0)+IF(AND(Assumptions!B56&lt;&gt;"",IFERROR(DATEVALUE(TEXT(Assumptions!B56,"MM/DD/YYYY")),0)&gt;=DATE(2028,8,1),IFERROR(DATEVALUE(TEXT(Assumptions!B56,"MM/DD/YYYY")),0)&lt;=DATE(2028,8,31)),1,0)+IF(AND(Assumptions!B57&lt;&gt;"",IFERROR(DATEVALUE(TEXT(Assumptions!B57,"MM/DD/YYYY")),0)&gt;=DATE(2028,8,1),IFERROR(DATEVALUE(TEXT(Assumptions!B57,"MM/DD/YYYY")),0)&lt;=DATE(2028,8,31)),1,0)+IF(AND(Assumptions!B58&lt;&gt;"",IFERROR(DATEVALUE(TEXT(Assumptions!B58,"MM/DD/YYYY")),0)&gt;=DATE(2028,8,1),IFERROR(DATEVALUE(TEXT(Assumptions!B58,"MM/DD/YYYY")),0)&lt;=DATE(2028,8,31)),1,0)+IF(AND(Assumptions!B59&lt;&gt;"",IFERROR(DATEVALUE(TEXT(Assumptions!B59,"MM/DD/YYYY")),0)&gt;=DATE(2028,8,1),IFERROR(DATEVALUE(TEXT(Assumptions!B59,"MM/DD/YYYY")),0)&lt;=DATE(2028,8,31)),1,0)+IF(AND(Assumptions!B60&lt;&gt;"",IFERROR(DATEVALUE(TEXT(Assumptions!B60,"MM/DD/YYYY")),0)&gt;=DATE(2028,8,1),IFERROR(DATEVALUE(TEXT(Assumptions!B60,"MM/DD/YYYY")),0)&lt;=DATE(2028,8,31)),1,0))&gt;0,'Working Capital'!Y19-'Working Capital'!X19,0)</f>
        <v/>
      </c>
      <c r="Z35" s="156">
        <f>Y35+'Cash Flow Statement'!Z43+'Cash Flow Statement'!Z46+IF((IF(AND(Assumptions!B51&lt;&gt;"",IFERROR(DATEVALUE(TEXT(Assumptions!B51,"MM/DD/YYYY")),0)&gt;=DATE(2028,9,1),IFERROR(DATEVALUE(TEXT(Assumptions!B51,"MM/DD/YYYY")),0)&lt;=DATE(2028,9,30)),1,0)+IF(AND(Assumptions!B52&lt;&gt;"",IFERROR(DATEVALUE(TEXT(Assumptions!B52,"MM/DD/YYYY")),0)&gt;=DATE(2028,9,1),IFERROR(DATEVALUE(TEXT(Assumptions!B52,"MM/DD/YYYY")),0)&lt;=DATE(2028,9,30)),1,0)+IF(AND(Assumptions!B53&lt;&gt;"",IFERROR(DATEVALUE(TEXT(Assumptions!B53,"MM/DD/YYYY")),0)&gt;=DATE(2028,9,1),IFERROR(DATEVALUE(TEXT(Assumptions!B53,"MM/DD/YYYY")),0)&lt;=DATE(2028,9,30)),1,0)+IF(AND(Assumptions!B54&lt;&gt;"",IFERROR(DATEVALUE(TEXT(Assumptions!B54,"MM/DD/YYYY")),0)&gt;=DATE(2028,9,1),IFERROR(DATEVALUE(TEXT(Assumptions!B54,"MM/DD/YYYY")),0)&lt;=DATE(2028,9,30)),1,0)+IF(AND(Assumptions!B55&lt;&gt;"",IFERROR(DATEVALUE(TEXT(Assumptions!B55,"MM/DD/YYYY")),0)&gt;=DATE(2028,9,1),IFERROR(DATEVALUE(TEXT(Assumptions!B55,"MM/DD/YYYY")),0)&lt;=DATE(2028,9,30)),1,0)+IF(AND(Assumptions!B56&lt;&gt;"",IFERROR(DATEVALUE(TEXT(Assumptions!B56,"MM/DD/YYYY")),0)&gt;=DATE(2028,9,1),IFERROR(DATEVALUE(TEXT(Assumptions!B56,"MM/DD/YYYY")),0)&lt;=DATE(2028,9,30)),1,0)+IF(AND(Assumptions!B57&lt;&gt;"",IFERROR(DATEVALUE(TEXT(Assumptions!B57,"MM/DD/YYYY")),0)&gt;=DATE(2028,9,1),IFERROR(DATEVALUE(TEXT(Assumptions!B57,"MM/DD/YYYY")),0)&lt;=DATE(2028,9,30)),1,0)+IF(AND(Assumptions!B58&lt;&gt;"",IFERROR(DATEVALUE(TEXT(Assumptions!B58,"MM/DD/YYYY")),0)&gt;=DATE(2028,9,1),IFERROR(DATEVALUE(TEXT(Assumptions!B58,"MM/DD/YYYY")),0)&lt;=DATE(2028,9,30)),1,0)+IF(AND(Assumptions!B59&lt;&gt;"",IFERROR(DATEVALUE(TEXT(Assumptions!B59,"MM/DD/YYYY")),0)&gt;=DATE(2028,9,1),IFERROR(DATEVALUE(TEXT(Assumptions!B59,"MM/DD/YYYY")),0)&lt;=DATE(2028,9,30)),1,0)+IF(AND(Assumptions!B60&lt;&gt;"",IFERROR(DATEVALUE(TEXT(Assumptions!B60,"MM/DD/YYYY")),0)&gt;=DATE(2028,9,1),IFERROR(DATEVALUE(TEXT(Assumptions!B60,"MM/DD/YYYY")),0)&lt;=DATE(2028,9,30)),1,0))&gt;0,'Working Capital'!Z19-'Working Capital'!Y19,0)</f>
        <v/>
      </c>
      <c r="AA35" s="156">
        <f>Z35+'Cash Flow Statement'!AA43+'Cash Flow Statement'!AA46+IF((IF(AND(Assumptions!B51&lt;&gt;"",IFERROR(DATEVALUE(TEXT(Assumptions!B51,"MM/DD/YYYY")),0)&gt;=DATE(2028,10,1),IFERROR(DATEVALUE(TEXT(Assumptions!B51,"MM/DD/YYYY")),0)&lt;=DATE(2028,10,31)),1,0)+IF(AND(Assumptions!B52&lt;&gt;"",IFERROR(DATEVALUE(TEXT(Assumptions!B52,"MM/DD/YYYY")),0)&gt;=DATE(2028,10,1),IFERROR(DATEVALUE(TEXT(Assumptions!B52,"MM/DD/YYYY")),0)&lt;=DATE(2028,10,31)),1,0)+IF(AND(Assumptions!B53&lt;&gt;"",IFERROR(DATEVALUE(TEXT(Assumptions!B53,"MM/DD/YYYY")),0)&gt;=DATE(2028,10,1),IFERROR(DATEVALUE(TEXT(Assumptions!B53,"MM/DD/YYYY")),0)&lt;=DATE(2028,10,31)),1,0)+IF(AND(Assumptions!B54&lt;&gt;"",IFERROR(DATEVALUE(TEXT(Assumptions!B54,"MM/DD/YYYY")),0)&gt;=DATE(2028,10,1),IFERROR(DATEVALUE(TEXT(Assumptions!B54,"MM/DD/YYYY")),0)&lt;=DATE(2028,10,31)),1,0)+IF(AND(Assumptions!B55&lt;&gt;"",IFERROR(DATEVALUE(TEXT(Assumptions!B55,"MM/DD/YYYY")),0)&gt;=DATE(2028,10,1),IFERROR(DATEVALUE(TEXT(Assumptions!B55,"MM/DD/YYYY")),0)&lt;=DATE(2028,10,31)),1,0)+IF(AND(Assumptions!B56&lt;&gt;"",IFERROR(DATEVALUE(TEXT(Assumptions!B56,"MM/DD/YYYY")),0)&gt;=DATE(2028,10,1),IFERROR(DATEVALUE(TEXT(Assumptions!B56,"MM/DD/YYYY")),0)&lt;=DATE(2028,10,31)),1,0)+IF(AND(Assumptions!B57&lt;&gt;"",IFERROR(DATEVALUE(TEXT(Assumptions!B57,"MM/DD/YYYY")),0)&gt;=DATE(2028,10,1),IFERROR(DATEVALUE(TEXT(Assumptions!B57,"MM/DD/YYYY")),0)&lt;=DATE(2028,10,31)),1,0)+IF(AND(Assumptions!B58&lt;&gt;"",IFERROR(DATEVALUE(TEXT(Assumptions!B58,"MM/DD/YYYY")),0)&gt;=DATE(2028,10,1),IFERROR(DATEVALUE(TEXT(Assumptions!B58,"MM/DD/YYYY")),0)&lt;=DATE(2028,10,31)),1,0)+IF(AND(Assumptions!B59&lt;&gt;"",IFERROR(DATEVALUE(TEXT(Assumptions!B59,"MM/DD/YYYY")),0)&gt;=DATE(2028,10,1),IFERROR(DATEVALUE(TEXT(Assumptions!B59,"MM/DD/YYYY")),0)&lt;=DATE(2028,10,31)),1,0)+IF(AND(Assumptions!B60&lt;&gt;"",IFERROR(DATEVALUE(TEXT(Assumptions!B60,"MM/DD/YYYY")),0)&gt;=DATE(2028,10,1),IFERROR(DATEVALUE(TEXT(Assumptions!B60,"MM/DD/YYYY")),0)&lt;=DATE(2028,10,31)),1,0))&gt;0,'Working Capital'!AA19-'Working Capital'!Z19,0)</f>
        <v/>
      </c>
      <c r="AB35" s="156">
        <f>AA35+'Cash Flow Statement'!AB43+'Cash Flow Statement'!AB46+IF((IF(AND(Assumptions!B51&lt;&gt;"",IFERROR(DATEVALUE(TEXT(Assumptions!B51,"MM/DD/YYYY")),0)&gt;=DATE(2028,11,1),IFERROR(DATEVALUE(TEXT(Assumptions!B51,"MM/DD/YYYY")),0)&lt;=DATE(2028,11,30)),1,0)+IF(AND(Assumptions!B52&lt;&gt;"",IFERROR(DATEVALUE(TEXT(Assumptions!B52,"MM/DD/YYYY")),0)&gt;=DATE(2028,11,1),IFERROR(DATEVALUE(TEXT(Assumptions!B52,"MM/DD/YYYY")),0)&lt;=DATE(2028,11,30)),1,0)+IF(AND(Assumptions!B53&lt;&gt;"",IFERROR(DATEVALUE(TEXT(Assumptions!B53,"MM/DD/YYYY")),0)&gt;=DATE(2028,11,1),IFERROR(DATEVALUE(TEXT(Assumptions!B53,"MM/DD/YYYY")),0)&lt;=DATE(2028,11,30)),1,0)+IF(AND(Assumptions!B54&lt;&gt;"",IFERROR(DATEVALUE(TEXT(Assumptions!B54,"MM/DD/YYYY")),0)&gt;=DATE(2028,11,1),IFERROR(DATEVALUE(TEXT(Assumptions!B54,"MM/DD/YYYY")),0)&lt;=DATE(2028,11,30)),1,0)+IF(AND(Assumptions!B55&lt;&gt;"",IFERROR(DATEVALUE(TEXT(Assumptions!B55,"MM/DD/YYYY")),0)&gt;=DATE(2028,11,1),IFERROR(DATEVALUE(TEXT(Assumptions!B55,"MM/DD/YYYY")),0)&lt;=DATE(2028,11,30)),1,0)+IF(AND(Assumptions!B56&lt;&gt;"",IFERROR(DATEVALUE(TEXT(Assumptions!B56,"MM/DD/YYYY")),0)&gt;=DATE(2028,11,1),IFERROR(DATEVALUE(TEXT(Assumptions!B56,"MM/DD/YYYY")),0)&lt;=DATE(2028,11,30)),1,0)+IF(AND(Assumptions!B57&lt;&gt;"",IFERROR(DATEVALUE(TEXT(Assumptions!B57,"MM/DD/YYYY")),0)&gt;=DATE(2028,11,1),IFERROR(DATEVALUE(TEXT(Assumptions!B57,"MM/DD/YYYY")),0)&lt;=DATE(2028,11,30)),1,0)+IF(AND(Assumptions!B58&lt;&gt;"",IFERROR(DATEVALUE(TEXT(Assumptions!B58,"MM/DD/YYYY")),0)&gt;=DATE(2028,11,1),IFERROR(DATEVALUE(TEXT(Assumptions!B58,"MM/DD/YYYY")),0)&lt;=DATE(2028,11,30)),1,0)+IF(AND(Assumptions!B59&lt;&gt;"",IFERROR(DATEVALUE(TEXT(Assumptions!B59,"MM/DD/YYYY")),0)&gt;=DATE(2028,11,1),IFERROR(DATEVALUE(TEXT(Assumptions!B59,"MM/DD/YYYY")),0)&lt;=DATE(2028,11,30)),1,0)+IF(AND(Assumptions!B60&lt;&gt;"",IFERROR(DATEVALUE(TEXT(Assumptions!B60,"MM/DD/YYYY")),0)&gt;=DATE(2028,11,1),IFERROR(DATEVALUE(TEXT(Assumptions!B60,"MM/DD/YYYY")),0)&lt;=DATE(2028,11,30)),1,0))&gt;0,'Working Capital'!AB19-'Working Capital'!AA19,0)</f>
        <v/>
      </c>
      <c r="AC35" s="156">
        <f>AB35+'Cash Flow Statement'!AC43+'Cash Flow Statement'!AC46+IF((IF(AND(Assumptions!B51&lt;&gt;"",IFERROR(DATEVALUE(TEXT(Assumptions!B51,"MM/DD/YYYY")),0)&gt;=DATE(2028,12,1),IFERROR(DATEVALUE(TEXT(Assumptions!B51,"MM/DD/YYYY")),0)&lt;=DATE(2028,12,31)),1,0)+IF(AND(Assumptions!B52&lt;&gt;"",IFERROR(DATEVALUE(TEXT(Assumptions!B52,"MM/DD/YYYY")),0)&gt;=DATE(2028,12,1),IFERROR(DATEVALUE(TEXT(Assumptions!B52,"MM/DD/YYYY")),0)&lt;=DATE(2028,12,31)),1,0)+IF(AND(Assumptions!B53&lt;&gt;"",IFERROR(DATEVALUE(TEXT(Assumptions!B53,"MM/DD/YYYY")),0)&gt;=DATE(2028,12,1),IFERROR(DATEVALUE(TEXT(Assumptions!B53,"MM/DD/YYYY")),0)&lt;=DATE(2028,12,31)),1,0)+IF(AND(Assumptions!B54&lt;&gt;"",IFERROR(DATEVALUE(TEXT(Assumptions!B54,"MM/DD/YYYY")),0)&gt;=DATE(2028,12,1),IFERROR(DATEVALUE(TEXT(Assumptions!B54,"MM/DD/YYYY")),0)&lt;=DATE(2028,12,31)),1,0)+IF(AND(Assumptions!B55&lt;&gt;"",IFERROR(DATEVALUE(TEXT(Assumptions!B55,"MM/DD/YYYY")),0)&gt;=DATE(2028,12,1),IFERROR(DATEVALUE(TEXT(Assumptions!B55,"MM/DD/YYYY")),0)&lt;=DATE(2028,12,31)),1,0)+IF(AND(Assumptions!B56&lt;&gt;"",IFERROR(DATEVALUE(TEXT(Assumptions!B56,"MM/DD/YYYY")),0)&gt;=DATE(2028,12,1),IFERROR(DATEVALUE(TEXT(Assumptions!B56,"MM/DD/YYYY")),0)&lt;=DATE(2028,12,31)),1,0)+IF(AND(Assumptions!B57&lt;&gt;"",IFERROR(DATEVALUE(TEXT(Assumptions!B57,"MM/DD/YYYY")),0)&gt;=DATE(2028,12,1),IFERROR(DATEVALUE(TEXT(Assumptions!B57,"MM/DD/YYYY")),0)&lt;=DATE(2028,12,31)),1,0)+IF(AND(Assumptions!B58&lt;&gt;"",IFERROR(DATEVALUE(TEXT(Assumptions!B58,"MM/DD/YYYY")),0)&gt;=DATE(2028,12,1),IFERROR(DATEVALUE(TEXT(Assumptions!B58,"MM/DD/YYYY")),0)&lt;=DATE(2028,12,31)),1,0)+IF(AND(Assumptions!B59&lt;&gt;"",IFERROR(DATEVALUE(TEXT(Assumptions!B59,"MM/DD/YYYY")),0)&gt;=DATE(2028,12,1),IFERROR(DATEVALUE(TEXT(Assumptions!B59,"MM/DD/YYYY")),0)&lt;=DATE(2028,12,31)),1,0)+IF(AND(Assumptions!B60&lt;&gt;"",IFERROR(DATEVALUE(TEXT(Assumptions!B60,"MM/DD/YYYY")),0)&gt;=DATE(2028,12,1),IFERROR(DATEVALUE(TEXT(Assumptions!B60,"MM/DD/YYYY")),0)&lt;=DATE(2028,12,31)),1,0))&gt;0,'Working Capital'!AC19-'Working Capital'!AB19,0)</f>
        <v/>
      </c>
      <c r="AD35" s="156">
        <f>AC35+'Cash Flow Statement'!AD43+'Cash Flow Statement'!AD46+IF((IF(AND(Assumptions!B51&lt;&gt;"",IFERROR(DATEVALUE(TEXT(Assumptions!B51,"MM/DD/YYYY")),0)&gt;=DATE(2029,1,1),IFERROR(DATEVALUE(TEXT(Assumptions!B51,"MM/DD/YYYY")),0)&lt;=DATE(2029,1,31)),1,0)+IF(AND(Assumptions!B52&lt;&gt;"",IFERROR(DATEVALUE(TEXT(Assumptions!B52,"MM/DD/YYYY")),0)&gt;=DATE(2029,1,1),IFERROR(DATEVALUE(TEXT(Assumptions!B52,"MM/DD/YYYY")),0)&lt;=DATE(2029,1,31)),1,0)+IF(AND(Assumptions!B53&lt;&gt;"",IFERROR(DATEVALUE(TEXT(Assumptions!B53,"MM/DD/YYYY")),0)&gt;=DATE(2029,1,1),IFERROR(DATEVALUE(TEXT(Assumptions!B53,"MM/DD/YYYY")),0)&lt;=DATE(2029,1,31)),1,0)+IF(AND(Assumptions!B54&lt;&gt;"",IFERROR(DATEVALUE(TEXT(Assumptions!B54,"MM/DD/YYYY")),0)&gt;=DATE(2029,1,1),IFERROR(DATEVALUE(TEXT(Assumptions!B54,"MM/DD/YYYY")),0)&lt;=DATE(2029,1,31)),1,0)+IF(AND(Assumptions!B55&lt;&gt;"",IFERROR(DATEVALUE(TEXT(Assumptions!B55,"MM/DD/YYYY")),0)&gt;=DATE(2029,1,1),IFERROR(DATEVALUE(TEXT(Assumptions!B55,"MM/DD/YYYY")),0)&lt;=DATE(2029,1,31)),1,0)+IF(AND(Assumptions!B56&lt;&gt;"",IFERROR(DATEVALUE(TEXT(Assumptions!B56,"MM/DD/YYYY")),0)&gt;=DATE(2029,1,1),IFERROR(DATEVALUE(TEXT(Assumptions!B56,"MM/DD/YYYY")),0)&lt;=DATE(2029,1,31)),1,0)+IF(AND(Assumptions!B57&lt;&gt;"",IFERROR(DATEVALUE(TEXT(Assumptions!B57,"MM/DD/YYYY")),0)&gt;=DATE(2029,1,1),IFERROR(DATEVALUE(TEXT(Assumptions!B57,"MM/DD/YYYY")),0)&lt;=DATE(2029,1,31)),1,0)+IF(AND(Assumptions!B58&lt;&gt;"",IFERROR(DATEVALUE(TEXT(Assumptions!B58,"MM/DD/YYYY")),0)&gt;=DATE(2029,1,1),IFERROR(DATEVALUE(TEXT(Assumptions!B58,"MM/DD/YYYY")),0)&lt;=DATE(2029,1,31)),1,0)+IF(AND(Assumptions!B59&lt;&gt;"",IFERROR(DATEVALUE(TEXT(Assumptions!B59,"MM/DD/YYYY")),0)&gt;=DATE(2029,1,1),IFERROR(DATEVALUE(TEXT(Assumptions!B59,"MM/DD/YYYY")),0)&lt;=DATE(2029,1,31)),1,0)+IF(AND(Assumptions!B60&lt;&gt;"",IFERROR(DATEVALUE(TEXT(Assumptions!B60,"MM/DD/YYYY")),0)&gt;=DATE(2029,1,1),IFERROR(DATEVALUE(TEXT(Assumptions!B60,"MM/DD/YYYY")),0)&lt;=DATE(2029,1,31)),1,0))&gt;0,'Working Capital'!AD19-'Working Capital'!AC19,0)</f>
        <v/>
      </c>
      <c r="AE35" s="156">
        <f>AD35+'Cash Flow Statement'!AE43+'Cash Flow Statement'!AE46+IF((IF(AND(Assumptions!B51&lt;&gt;"",IFERROR(DATEVALUE(TEXT(Assumptions!B51,"MM/DD/YYYY")),0)&gt;=DATE(2029,2,1),IFERROR(DATEVALUE(TEXT(Assumptions!B51,"MM/DD/YYYY")),0)&lt;=DATE(2029,2,28)),1,0)+IF(AND(Assumptions!B52&lt;&gt;"",IFERROR(DATEVALUE(TEXT(Assumptions!B52,"MM/DD/YYYY")),0)&gt;=DATE(2029,2,1),IFERROR(DATEVALUE(TEXT(Assumptions!B52,"MM/DD/YYYY")),0)&lt;=DATE(2029,2,28)),1,0)+IF(AND(Assumptions!B53&lt;&gt;"",IFERROR(DATEVALUE(TEXT(Assumptions!B53,"MM/DD/YYYY")),0)&gt;=DATE(2029,2,1),IFERROR(DATEVALUE(TEXT(Assumptions!B53,"MM/DD/YYYY")),0)&lt;=DATE(2029,2,28)),1,0)+IF(AND(Assumptions!B54&lt;&gt;"",IFERROR(DATEVALUE(TEXT(Assumptions!B54,"MM/DD/YYYY")),0)&gt;=DATE(2029,2,1),IFERROR(DATEVALUE(TEXT(Assumptions!B54,"MM/DD/YYYY")),0)&lt;=DATE(2029,2,28)),1,0)+IF(AND(Assumptions!B55&lt;&gt;"",IFERROR(DATEVALUE(TEXT(Assumptions!B55,"MM/DD/YYYY")),0)&gt;=DATE(2029,2,1),IFERROR(DATEVALUE(TEXT(Assumptions!B55,"MM/DD/YYYY")),0)&lt;=DATE(2029,2,28)),1,0)+IF(AND(Assumptions!B56&lt;&gt;"",IFERROR(DATEVALUE(TEXT(Assumptions!B56,"MM/DD/YYYY")),0)&gt;=DATE(2029,2,1),IFERROR(DATEVALUE(TEXT(Assumptions!B56,"MM/DD/YYYY")),0)&lt;=DATE(2029,2,28)),1,0)+IF(AND(Assumptions!B57&lt;&gt;"",IFERROR(DATEVALUE(TEXT(Assumptions!B57,"MM/DD/YYYY")),0)&gt;=DATE(2029,2,1),IFERROR(DATEVALUE(TEXT(Assumptions!B57,"MM/DD/YYYY")),0)&lt;=DATE(2029,2,28)),1,0)+IF(AND(Assumptions!B58&lt;&gt;"",IFERROR(DATEVALUE(TEXT(Assumptions!B58,"MM/DD/YYYY")),0)&gt;=DATE(2029,2,1),IFERROR(DATEVALUE(TEXT(Assumptions!B58,"MM/DD/YYYY")),0)&lt;=DATE(2029,2,28)),1,0)+IF(AND(Assumptions!B59&lt;&gt;"",IFERROR(DATEVALUE(TEXT(Assumptions!B59,"MM/DD/YYYY")),0)&gt;=DATE(2029,2,1),IFERROR(DATEVALUE(TEXT(Assumptions!B59,"MM/DD/YYYY")),0)&lt;=DATE(2029,2,28)),1,0)+IF(AND(Assumptions!B60&lt;&gt;"",IFERROR(DATEVALUE(TEXT(Assumptions!B60,"MM/DD/YYYY")),0)&gt;=DATE(2029,2,1),IFERROR(DATEVALUE(TEXT(Assumptions!B60,"MM/DD/YYYY")),0)&lt;=DATE(2029,2,28)),1,0))&gt;0,'Working Capital'!AE19-'Working Capital'!AD19,0)</f>
        <v/>
      </c>
      <c r="AF35" s="156">
        <f>AE35+'Cash Flow Statement'!AF43+'Cash Flow Statement'!AF46+IF((IF(AND(Assumptions!B51&lt;&gt;"",IFERROR(DATEVALUE(TEXT(Assumptions!B51,"MM/DD/YYYY")),0)&gt;=DATE(2029,3,1),IFERROR(DATEVALUE(TEXT(Assumptions!B51,"MM/DD/YYYY")),0)&lt;=DATE(2029,3,31)),1,0)+IF(AND(Assumptions!B52&lt;&gt;"",IFERROR(DATEVALUE(TEXT(Assumptions!B52,"MM/DD/YYYY")),0)&gt;=DATE(2029,3,1),IFERROR(DATEVALUE(TEXT(Assumptions!B52,"MM/DD/YYYY")),0)&lt;=DATE(2029,3,31)),1,0)+IF(AND(Assumptions!B53&lt;&gt;"",IFERROR(DATEVALUE(TEXT(Assumptions!B53,"MM/DD/YYYY")),0)&gt;=DATE(2029,3,1),IFERROR(DATEVALUE(TEXT(Assumptions!B53,"MM/DD/YYYY")),0)&lt;=DATE(2029,3,31)),1,0)+IF(AND(Assumptions!B54&lt;&gt;"",IFERROR(DATEVALUE(TEXT(Assumptions!B54,"MM/DD/YYYY")),0)&gt;=DATE(2029,3,1),IFERROR(DATEVALUE(TEXT(Assumptions!B54,"MM/DD/YYYY")),0)&lt;=DATE(2029,3,31)),1,0)+IF(AND(Assumptions!B55&lt;&gt;"",IFERROR(DATEVALUE(TEXT(Assumptions!B55,"MM/DD/YYYY")),0)&gt;=DATE(2029,3,1),IFERROR(DATEVALUE(TEXT(Assumptions!B55,"MM/DD/YYYY")),0)&lt;=DATE(2029,3,31)),1,0)+IF(AND(Assumptions!B56&lt;&gt;"",IFERROR(DATEVALUE(TEXT(Assumptions!B56,"MM/DD/YYYY")),0)&gt;=DATE(2029,3,1),IFERROR(DATEVALUE(TEXT(Assumptions!B56,"MM/DD/YYYY")),0)&lt;=DATE(2029,3,31)),1,0)+IF(AND(Assumptions!B57&lt;&gt;"",IFERROR(DATEVALUE(TEXT(Assumptions!B57,"MM/DD/YYYY")),0)&gt;=DATE(2029,3,1),IFERROR(DATEVALUE(TEXT(Assumptions!B57,"MM/DD/YYYY")),0)&lt;=DATE(2029,3,31)),1,0)+IF(AND(Assumptions!B58&lt;&gt;"",IFERROR(DATEVALUE(TEXT(Assumptions!B58,"MM/DD/YYYY")),0)&gt;=DATE(2029,3,1),IFERROR(DATEVALUE(TEXT(Assumptions!B58,"MM/DD/YYYY")),0)&lt;=DATE(2029,3,31)),1,0)+IF(AND(Assumptions!B59&lt;&gt;"",IFERROR(DATEVALUE(TEXT(Assumptions!B59,"MM/DD/YYYY")),0)&gt;=DATE(2029,3,1),IFERROR(DATEVALUE(TEXT(Assumptions!B59,"MM/DD/YYYY")),0)&lt;=DATE(2029,3,31)),1,0)+IF(AND(Assumptions!B60&lt;&gt;"",IFERROR(DATEVALUE(TEXT(Assumptions!B60,"MM/DD/YYYY")),0)&gt;=DATE(2029,3,1),IFERROR(DATEVALUE(TEXT(Assumptions!B60,"MM/DD/YYYY")),0)&lt;=DATE(2029,3,31)),1,0))&gt;0,'Working Capital'!AF19-'Working Capital'!AE19,0)</f>
        <v/>
      </c>
      <c r="AG35" s="156">
        <f>AF35+'Cash Flow Statement'!AG43+'Cash Flow Statement'!AG46+IF((IF(AND(Assumptions!B51&lt;&gt;"",IFERROR(DATEVALUE(TEXT(Assumptions!B51,"MM/DD/YYYY")),0)&gt;=DATE(2029,4,1),IFERROR(DATEVALUE(TEXT(Assumptions!B51,"MM/DD/YYYY")),0)&lt;=DATE(2029,4,30)),1,0)+IF(AND(Assumptions!B52&lt;&gt;"",IFERROR(DATEVALUE(TEXT(Assumptions!B52,"MM/DD/YYYY")),0)&gt;=DATE(2029,4,1),IFERROR(DATEVALUE(TEXT(Assumptions!B52,"MM/DD/YYYY")),0)&lt;=DATE(2029,4,30)),1,0)+IF(AND(Assumptions!B53&lt;&gt;"",IFERROR(DATEVALUE(TEXT(Assumptions!B53,"MM/DD/YYYY")),0)&gt;=DATE(2029,4,1),IFERROR(DATEVALUE(TEXT(Assumptions!B53,"MM/DD/YYYY")),0)&lt;=DATE(2029,4,30)),1,0)+IF(AND(Assumptions!B54&lt;&gt;"",IFERROR(DATEVALUE(TEXT(Assumptions!B54,"MM/DD/YYYY")),0)&gt;=DATE(2029,4,1),IFERROR(DATEVALUE(TEXT(Assumptions!B54,"MM/DD/YYYY")),0)&lt;=DATE(2029,4,30)),1,0)+IF(AND(Assumptions!B55&lt;&gt;"",IFERROR(DATEVALUE(TEXT(Assumptions!B55,"MM/DD/YYYY")),0)&gt;=DATE(2029,4,1),IFERROR(DATEVALUE(TEXT(Assumptions!B55,"MM/DD/YYYY")),0)&lt;=DATE(2029,4,30)),1,0)+IF(AND(Assumptions!B56&lt;&gt;"",IFERROR(DATEVALUE(TEXT(Assumptions!B56,"MM/DD/YYYY")),0)&gt;=DATE(2029,4,1),IFERROR(DATEVALUE(TEXT(Assumptions!B56,"MM/DD/YYYY")),0)&lt;=DATE(2029,4,30)),1,0)+IF(AND(Assumptions!B57&lt;&gt;"",IFERROR(DATEVALUE(TEXT(Assumptions!B57,"MM/DD/YYYY")),0)&gt;=DATE(2029,4,1),IFERROR(DATEVALUE(TEXT(Assumptions!B57,"MM/DD/YYYY")),0)&lt;=DATE(2029,4,30)),1,0)+IF(AND(Assumptions!B58&lt;&gt;"",IFERROR(DATEVALUE(TEXT(Assumptions!B58,"MM/DD/YYYY")),0)&gt;=DATE(2029,4,1),IFERROR(DATEVALUE(TEXT(Assumptions!B58,"MM/DD/YYYY")),0)&lt;=DATE(2029,4,30)),1,0)+IF(AND(Assumptions!B59&lt;&gt;"",IFERROR(DATEVALUE(TEXT(Assumptions!B59,"MM/DD/YYYY")),0)&gt;=DATE(2029,4,1),IFERROR(DATEVALUE(TEXT(Assumptions!B59,"MM/DD/YYYY")),0)&lt;=DATE(2029,4,30)),1,0)+IF(AND(Assumptions!B60&lt;&gt;"",IFERROR(DATEVALUE(TEXT(Assumptions!B60,"MM/DD/YYYY")),0)&gt;=DATE(2029,4,1),IFERROR(DATEVALUE(TEXT(Assumptions!B60,"MM/DD/YYYY")),0)&lt;=DATE(2029,4,30)),1,0))&gt;0,'Working Capital'!AG19-'Working Capital'!AF19,0)</f>
        <v/>
      </c>
      <c r="AH35" s="156">
        <f>AG35+'Cash Flow Statement'!AH43+'Cash Flow Statement'!AH46+IF((IF(AND(Assumptions!B51&lt;&gt;"",IFERROR(DATEVALUE(TEXT(Assumptions!B51,"MM/DD/YYYY")),0)&gt;=DATE(2029,5,1),IFERROR(DATEVALUE(TEXT(Assumptions!B51,"MM/DD/YYYY")),0)&lt;=DATE(2029,5,31)),1,0)+IF(AND(Assumptions!B52&lt;&gt;"",IFERROR(DATEVALUE(TEXT(Assumptions!B52,"MM/DD/YYYY")),0)&gt;=DATE(2029,5,1),IFERROR(DATEVALUE(TEXT(Assumptions!B52,"MM/DD/YYYY")),0)&lt;=DATE(2029,5,31)),1,0)+IF(AND(Assumptions!B53&lt;&gt;"",IFERROR(DATEVALUE(TEXT(Assumptions!B53,"MM/DD/YYYY")),0)&gt;=DATE(2029,5,1),IFERROR(DATEVALUE(TEXT(Assumptions!B53,"MM/DD/YYYY")),0)&lt;=DATE(2029,5,31)),1,0)+IF(AND(Assumptions!B54&lt;&gt;"",IFERROR(DATEVALUE(TEXT(Assumptions!B54,"MM/DD/YYYY")),0)&gt;=DATE(2029,5,1),IFERROR(DATEVALUE(TEXT(Assumptions!B54,"MM/DD/YYYY")),0)&lt;=DATE(2029,5,31)),1,0)+IF(AND(Assumptions!B55&lt;&gt;"",IFERROR(DATEVALUE(TEXT(Assumptions!B55,"MM/DD/YYYY")),0)&gt;=DATE(2029,5,1),IFERROR(DATEVALUE(TEXT(Assumptions!B55,"MM/DD/YYYY")),0)&lt;=DATE(2029,5,31)),1,0)+IF(AND(Assumptions!B56&lt;&gt;"",IFERROR(DATEVALUE(TEXT(Assumptions!B56,"MM/DD/YYYY")),0)&gt;=DATE(2029,5,1),IFERROR(DATEVALUE(TEXT(Assumptions!B56,"MM/DD/YYYY")),0)&lt;=DATE(2029,5,31)),1,0)+IF(AND(Assumptions!B57&lt;&gt;"",IFERROR(DATEVALUE(TEXT(Assumptions!B57,"MM/DD/YYYY")),0)&gt;=DATE(2029,5,1),IFERROR(DATEVALUE(TEXT(Assumptions!B57,"MM/DD/YYYY")),0)&lt;=DATE(2029,5,31)),1,0)+IF(AND(Assumptions!B58&lt;&gt;"",IFERROR(DATEVALUE(TEXT(Assumptions!B58,"MM/DD/YYYY")),0)&gt;=DATE(2029,5,1),IFERROR(DATEVALUE(TEXT(Assumptions!B58,"MM/DD/YYYY")),0)&lt;=DATE(2029,5,31)),1,0)+IF(AND(Assumptions!B59&lt;&gt;"",IFERROR(DATEVALUE(TEXT(Assumptions!B59,"MM/DD/YYYY")),0)&gt;=DATE(2029,5,1),IFERROR(DATEVALUE(TEXT(Assumptions!B59,"MM/DD/YYYY")),0)&lt;=DATE(2029,5,31)),1,0)+IF(AND(Assumptions!B60&lt;&gt;"",IFERROR(DATEVALUE(TEXT(Assumptions!B60,"MM/DD/YYYY")),0)&gt;=DATE(2029,5,1),IFERROR(DATEVALUE(TEXT(Assumptions!B60,"MM/DD/YYYY")),0)&lt;=DATE(2029,5,31)),1,0))&gt;0,'Working Capital'!AH19-'Working Capital'!AG19,0)</f>
        <v/>
      </c>
      <c r="AI35" s="156">
        <f>AH35+'Cash Flow Statement'!AI43+'Cash Flow Statement'!AI46+IF((IF(AND(Assumptions!B51&lt;&gt;"",IFERROR(DATEVALUE(TEXT(Assumptions!B51,"MM/DD/YYYY")),0)&gt;=DATE(2029,6,1),IFERROR(DATEVALUE(TEXT(Assumptions!B51,"MM/DD/YYYY")),0)&lt;=DATE(2029,6,30)),1,0)+IF(AND(Assumptions!B52&lt;&gt;"",IFERROR(DATEVALUE(TEXT(Assumptions!B52,"MM/DD/YYYY")),0)&gt;=DATE(2029,6,1),IFERROR(DATEVALUE(TEXT(Assumptions!B52,"MM/DD/YYYY")),0)&lt;=DATE(2029,6,30)),1,0)+IF(AND(Assumptions!B53&lt;&gt;"",IFERROR(DATEVALUE(TEXT(Assumptions!B53,"MM/DD/YYYY")),0)&gt;=DATE(2029,6,1),IFERROR(DATEVALUE(TEXT(Assumptions!B53,"MM/DD/YYYY")),0)&lt;=DATE(2029,6,30)),1,0)+IF(AND(Assumptions!B54&lt;&gt;"",IFERROR(DATEVALUE(TEXT(Assumptions!B54,"MM/DD/YYYY")),0)&gt;=DATE(2029,6,1),IFERROR(DATEVALUE(TEXT(Assumptions!B54,"MM/DD/YYYY")),0)&lt;=DATE(2029,6,30)),1,0)+IF(AND(Assumptions!B55&lt;&gt;"",IFERROR(DATEVALUE(TEXT(Assumptions!B55,"MM/DD/YYYY")),0)&gt;=DATE(2029,6,1),IFERROR(DATEVALUE(TEXT(Assumptions!B55,"MM/DD/YYYY")),0)&lt;=DATE(2029,6,30)),1,0)+IF(AND(Assumptions!B56&lt;&gt;"",IFERROR(DATEVALUE(TEXT(Assumptions!B56,"MM/DD/YYYY")),0)&gt;=DATE(2029,6,1),IFERROR(DATEVALUE(TEXT(Assumptions!B56,"MM/DD/YYYY")),0)&lt;=DATE(2029,6,30)),1,0)+IF(AND(Assumptions!B57&lt;&gt;"",IFERROR(DATEVALUE(TEXT(Assumptions!B57,"MM/DD/YYYY")),0)&gt;=DATE(2029,6,1),IFERROR(DATEVALUE(TEXT(Assumptions!B57,"MM/DD/YYYY")),0)&lt;=DATE(2029,6,30)),1,0)+IF(AND(Assumptions!B58&lt;&gt;"",IFERROR(DATEVALUE(TEXT(Assumptions!B58,"MM/DD/YYYY")),0)&gt;=DATE(2029,6,1),IFERROR(DATEVALUE(TEXT(Assumptions!B58,"MM/DD/YYYY")),0)&lt;=DATE(2029,6,30)),1,0)+IF(AND(Assumptions!B59&lt;&gt;"",IFERROR(DATEVALUE(TEXT(Assumptions!B59,"MM/DD/YYYY")),0)&gt;=DATE(2029,6,1),IFERROR(DATEVALUE(TEXT(Assumptions!B59,"MM/DD/YYYY")),0)&lt;=DATE(2029,6,30)),1,0)+IF(AND(Assumptions!B60&lt;&gt;"",IFERROR(DATEVALUE(TEXT(Assumptions!B60,"MM/DD/YYYY")),0)&gt;=DATE(2029,6,1),IFERROR(DATEVALUE(TEXT(Assumptions!B60,"MM/DD/YYYY")),0)&lt;=DATE(2029,6,30)),1,0))&gt;0,'Working Capital'!AI19-'Working Capital'!AH19,0)</f>
        <v/>
      </c>
      <c r="AJ35" s="156">
        <f>AI35+'Cash Flow Statement'!AJ43+'Cash Flow Statement'!AJ46+IF((IF(AND(Assumptions!B51&lt;&gt;"",IFERROR(DATEVALUE(TEXT(Assumptions!B51,"MM/DD/YYYY")),0)&gt;=DATE(2029,7,1),IFERROR(DATEVALUE(TEXT(Assumptions!B51,"MM/DD/YYYY")),0)&lt;=DATE(2029,7,31)),1,0)+IF(AND(Assumptions!B52&lt;&gt;"",IFERROR(DATEVALUE(TEXT(Assumptions!B52,"MM/DD/YYYY")),0)&gt;=DATE(2029,7,1),IFERROR(DATEVALUE(TEXT(Assumptions!B52,"MM/DD/YYYY")),0)&lt;=DATE(2029,7,31)),1,0)+IF(AND(Assumptions!B53&lt;&gt;"",IFERROR(DATEVALUE(TEXT(Assumptions!B53,"MM/DD/YYYY")),0)&gt;=DATE(2029,7,1),IFERROR(DATEVALUE(TEXT(Assumptions!B53,"MM/DD/YYYY")),0)&lt;=DATE(2029,7,31)),1,0)+IF(AND(Assumptions!B54&lt;&gt;"",IFERROR(DATEVALUE(TEXT(Assumptions!B54,"MM/DD/YYYY")),0)&gt;=DATE(2029,7,1),IFERROR(DATEVALUE(TEXT(Assumptions!B54,"MM/DD/YYYY")),0)&lt;=DATE(2029,7,31)),1,0)+IF(AND(Assumptions!B55&lt;&gt;"",IFERROR(DATEVALUE(TEXT(Assumptions!B55,"MM/DD/YYYY")),0)&gt;=DATE(2029,7,1),IFERROR(DATEVALUE(TEXT(Assumptions!B55,"MM/DD/YYYY")),0)&lt;=DATE(2029,7,31)),1,0)+IF(AND(Assumptions!B56&lt;&gt;"",IFERROR(DATEVALUE(TEXT(Assumptions!B56,"MM/DD/YYYY")),0)&gt;=DATE(2029,7,1),IFERROR(DATEVALUE(TEXT(Assumptions!B56,"MM/DD/YYYY")),0)&lt;=DATE(2029,7,31)),1,0)+IF(AND(Assumptions!B57&lt;&gt;"",IFERROR(DATEVALUE(TEXT(Assumptions!B57,"MM/DD/YYYY")),0)&gt;=DATE(2029,7,1),IFERROR(DATEVALUE(TEXT(Assumptions!B57,"MM/DD/YYYY")),0)&lt;=DATE(2029,7,31)),1,0)+IF(AND(Assumptions!B58&lt;&gt;"",IFERROR(DATEVALUE(TEXT(Assumptions!B58,"MM/DD/YYYY")),0)&gt;=DATE(2029,7,1),IFERROR(DATEVALUE(TEXT(Assumptions!B58,"MM/DD/YYYY")),0)&lt;=DATE(2029,7,31)),1,0)+IF(AND(Assumptions!B59&lt;&gt;"",IFERROR(DATEVALUE(TEXT(Assumptions!B59,"MM/DD/YYYY")),0)&gt;=DATE(2029,7,1),IFERROR(DATEVALUE(TEXT(Assumptions!B59,"MM/DD/YYYY")),0)&lt;=DATE(2029,7,31)),1,0)+IF(AND(Assumptions!B60&lt;&gt;"",IFERROR(DATEVALUE(TEXT(Assumptions!B60,"MM/DD/YYYY")),0)&gt;=DATE(2029,7,1),IFERROR(DATEVALUE(TEXT(Assumptions!B60,"MM/DD/YYYY")),0)&lt;=DATE(2029,7,31)),1,0))&gt;0,'Working Capital'!AJ19-'Working Capital'!AI19,0)</f>
        <v/>
      </c>
      <c r="AK35" s="156">
        <f>AJ35+'Cash Flow Statement'!AK43+'Cash Flow Statement'!AK46+IF((IF(AND(Assumptions!B51&lt;&gt;"",IFERROR(DATEVALUE(TEXT(Assumptions!B51,"MM/DD/YYYY")),0)&gt;=DATE(2029,8,1),IFERROR(DATEVALUE(TEXT(Assumptions!B51,"MM/DD/YYYY")),0)&lt;=DATE(2029,8,31)),1,0)+IF(AND(Assumptions!B52&lt;&gt;"",IFERROR(DATEVALUE(TEXT(Assumptions!B52,"MM/DD/YYYY")),0)&gt;=DATE(2029,8,1),IFERROR(DATEVALUE(TEXT(Assumptions!B52,"MM/DD/YYYY")),0)&lt;=DATE(2029,8,31)),1,0)+IF(AND(Assumptions!B53&lt;&gt;"",IFERROR(DATEVALUE(TEXT(Assumptions!B53,"MM/DD/YYYY")),0)&gt;=DATE(2029,8,1),IFERROR(DATEVALUE(TEXT(Assumptions!B53,"MM/DD/YYYY")),0)&lt;=DATE(2029,8,31)),1,0)+IF(AND(Assumptions!B54&lt;&gt;"",IFERROR(DATEVALUE(TEXT(Assumptions!B54,"MM/DD/YYYY")),0)&gt;=DATE(2029,8,1),IFERROR(DATEVALUE(TEXT(Assumptions!B54,"MM/DD/YYYY")),0)&lt;=DATE(2029,8,31)),1,0)+IF(AND(Assumptions!B55&lt;&gt;"",IFERROR(DATEVALUE(TEXT(Assumptions!B55,"MM/DD/YYYY")),0)&gt;=DATE(2029,8,1),IFERROR(DATEVALUE(TEXT(Assumptions!B55,"MM/DD/YYYY")),0)&lt;=DATE(2029,8,31)),1,0)+IF(AND(Assumptions!B56&lt;&gt;"",IFERROR(DATEVALUE(TEXT(Assumptions!B56,"MM/DD/YYYY")),0)&gt;=DATE(2029,8,1),IFERROR(DATEVALUE(TEXT(Assumptions!B56,"MM/DD/YYYY")),0)&lt;=DATE(2029,8,31)),1,0)+IF(AND(Assumptions!B57&lt;&gt;"",IFERROR(DATEVALUE(TEXT(Assumptions!B57,"MM/DD/YYYY")),0)&gt;=DATE(2029,8,1),IFERROR(DATEVALUE(TEXT(Assumptions!B57,"MM/DD/YYYY")),0)&lt;=DATE(2029,8,31)),1,0)+IF(AND(Assumptions!B58&lt;&gt;"",IFERROR(DATEVALUE(TEXT(Assumptions!B58,"MM/DD/YYYY")),0)&gt;=DATE(2029,8,1),IFERROR(DATEVALUE(TEXT(Assumptions!B58,"MM/DD/YYYY")),0)&lt;=DATE(2029,8,31)),1,0)+IF(AND(Assumptions!B59&lt;&gt;"",IFERROR(DATEVALUE(TEXT(Assumptions!B59,"MM/DD/YYYY")),0)&gt;=DATE(2029,8,1),IFERROR(DATEVALUE(TEXT(Assumptions!B59,"MM/DD/YYYY")),0)&lt;=DATE(2029,8,31)),1,0)+IF(AND(Assumptions!B60&lt;&gt;"",IFERROR(DATEVALUE(TEXT(Assumptions!B60,"MM/DD/YYYY")),0)&gt;=DATE(2029,8,1),IFERROR(DATEVALUE(TEXT(Assumptions!B60,"MM/DD/YYYY")),0)&lt;=DATE(2029,8,31)),1,0))&gt;0,'Working Capital'!AK19-'Working Capital'!AJ19,0)</f>
        <v/>
      </c>
      <c r="AL35" s="156">
        <f>AK35+'Cash Flow Statement'!AL43+'Cash Flow Statement'!AL46+IF((IF(AND(Assumptions!B51&lt;&gt;"",IFERROR(DATEVALUE(TEXT(Assumptions!B51,"MM/DD/YYYY")),0)&gt;=DATE(2029,9,1),IFERROR(DATEVALUE(TEXT(Assumptions!B51,"MM/DD/YYYY")),0)&lt;=DATE(2029,9,30)),1,0)+IF(AND(Assumptions!B52&lt;&gt;"",IFERROR(DATEVALUE(TEXT(Assumptions!B52,"MM/DD/YYYY")),0)&gt;=DATE(2029,9,1),IFERROR(DATEVALUE(TEXT(Assumptions!B52,"MM/DD/YYYY")),0)&lt;=DATE(2029,9,30)),1,0)+IF(AND(Assumptions!B53&lt;&gt;"",IFERROR(DATEVALUE(TEXT(Assumptions!B53,"MM/DD/YYYY")),0)&gt;=DATE(2029,9,1),IFERROR(DATEVALUE(TEXT(Assumptions!B53,"MM/DD/YYYY")),0)&lt;=DATE(2029,9,30)),1,0)+IF(AND(Assumptions!B54&lt;&gt;"",IFERROR(DATEVALUE(TEXT(Assumptions!B54,"MM/DD/YYYY")),0)&gt;=DATE(2029,9,1),IFERROR(DATEVALUE(TEXT(Assumptions!B54,"MM/DD/YYYY")),0)&lt;=DATE(2029,9,30)),1,0)+IF(AND(Assumptions!B55&lt;&gt;"",IFERROR(DATEVALUE(TEXT(Assumptions!B55,"MM/DD/YYYY")),0)&gt;=DATE(2029,9,1),IFERROR(DATEVALUE(TEXT(Assumptions!B55,"MM/DD/YYYY")),0)&lt;=DATE(2029,9,30)),1,0)+IF(AND(Assumptions!B56&lt;&gt;"",IFERROR(DATEVALUE(TEXT(Assumptions!B56,"MM/DD/YYYY")),0)&gt;=DATE(2029,9,1),IFERROR(DATEVALUE(TEXT(Assumptions!B56,"MM/DD/YYYY")),0)&lt;=DATE(2029,9,30)),1,0)+IF(AND(Assumptions!B57&lt;&gt;"",IFERROR(DATEVALUE(TEXT(Assumptions!B57,"MM/DD/YYYY")),0)&gt;=DATE(2029,9,1),IFERROR(DATEVALUE(TEXT(Assumptions!B57,"MM/DD/YYYY")),0)&lt;=DATE(2029,9,30)),1,0)+IF(AND(Assumptions!B58&lt;&gt;"",IFERROR(DATEVALUE(TEXT(Assumptions!B58,"MM/DD/YYYY")),0)&gt;=DATE(2029,9,1),IFERROR(DATEVALUE(TEXT(Assumptions!B58,"MM/DD/YYYY")),0)&lt;=DATE(2029,9,30)),1,0)+IF(AND(Assumptions!B59&lt;&gt;"",IFERROR(DATEVALUE(TEXT(Assumptions!B59,"MM/DD/YYYY")),0)&gt;=DATE(2029,9,1),IFERROR(DATEVALUE(TEXT(Assumptions!B59,"MM/DD/YYYY")),0)&lt;=DATE(2029,9,30)),1,0)+IF(AND(Assumptions!B60&lt;&gt;"",IFERROR(DATEVALUE(TEXT(Assumptions!B60,"MM/DD/YYYY")),0)&gt;=DATE(2029,9,1),IFERROR(DATEVALUE(TEXT(Assumptions!B60,"MM/DD/YYYY")),0)&lt;=DATE(2029,9,30)),1,0))&gt;0,'Working Capital'!AL19-'Working Capital'!AK19,0)</f>
        <v/>
      </c>
      <c r="AM35" s="156">
        <f>AL35+'Cash Flow Statement'!AM43+'Cash Flow Statement'!AM46+IF((IF(AND(Assumptions!B51&lt;&gt;"",IFERROR(DATEVALUE(TEXT(Assumptions!B51,"MM/DD/YYYY")),0)&gt;=DATE(2029,10,1),IFERROR(DATEVALUE(TEXT(Assumptions!B51,"MM/DD/YYYY")),0)&lt;=DATE(2029,10,31)),1,0)+IF(AND(Assumptions!B52&lt;&gt;"",IFERROR(DATEVALUE(TEXT(Assumptions!B52,"MM/DD/YYYY")),0)&gt;=DATE(2029,10,1),IFERROR(DATEVALUE(TEXT(Assumptions!B52,"MM/DD/YYYY")),0)&lt;=DATE(2029,10,31)),1,0)+IF(AND(Assumptions!B53&lt;&gt;"",IFERROR(DATEVALUE(TEXT(Assumptions!B53,"MM/DD/YYYY")),0)&gt;=DATE(2029,10,1),IFERROR(DATEVALUE(TEXT(Assumptions!B53,"MM/DD/YYYY")),0)&lt;=DATE(2029,10,31)),1,0)+IF(AND(Assumptions!B54&lt;&gt;"",IFERROR(DATEVALUE(TEXT(Assumptions!B54,"MM/DD/YYYY")),0)&gt;=DATE(2029,10,1),IFERROR(DATEVALUE(TEXT(Assumptions!B54,"MM/DD/YYYY")),0)&lt;=DATE(2029,10,31)),1,0)+IF(AND(Assumptions!B55&lt;&gt;"",IFERROR(DATEVALUE(TEXT(Assumptions!B55,"MM/DD/YYYY")),0)&gt;=DATE(2029,10,1),IFERROR(DATEVALUE(TEXT(Assumptions!B55,"MM/DD/YYYY")),0)&lt;=DATE(2029,10,31)),1,0)+IF(AND(Assumptions!B56&lt;&gt;"",IFERROR(DATEVALUE(TEXT(Assumptions!B56,"MM/DD/YYYY")),0)&gt;=DATE(2029,10,1),IFERROR(DATEVALUE(TEXT(Assumptions!B56,"MM/DD/YYYY")),0)&lt;=DATE(2029,10,31)),1,0)+IF(AND(Assumptions!B57&lt;&gt;"",IFERROR(DATEVALUE(TEXT(Assumptions!B57,"MM/DD/YYYY")),0)&gt;=DATE(2029,10,1),IFERROR(DATEVALUE(TEXT(Assumptions!B57,"MM/DD/YYYY")),0)&lt;=DATE(2029,10,31)),1,0)+IF(AND(Assumptions!B58&lt;&gt;"",IFERROR(DATEVALUE(TEXT(Assumptions!B58,"MM/DD/YYYY")),0)&gt;=DATE(2029,10,1),IFERROR(DATEVALUE(TEXT(Assumptions!B58,"MM/DD/YYYY")),0)&lt;=DATE(2029,10,31)),1,0)+IF(AND(Assumptions!B59&lt;&gt;"",IFERROR(DATEVALUE(TEXT(Assumptions!B59,"MM/DD/YYYY")),0)&gt;=DATE(2029,10,1),IFERROR(DATEVALUE(TEXT(Assumptions!B59,"MM/DD/YYYY")),0)&lt;=DATE(2029,10,31)),1,0)+IF(AND(Assumptions!B60&lt;&gt;"",IFERROR(DATEVALUE(TEXT(Assumptions!B60,"MM/DD/YYYY")),0)&gt;=DATE(2029,10,1),IFERROR(DATEVALUE(TEXT(Assumptions!B60,"MM/DD/YYYY")),0)&lt;=DATE(2029,10,31)),1,0))&gt;0,'Working Capital'!AM19-'Working Capital'!AL19,0)</f>
        <v/>
      </c>
      <c r="AN35" s="156">
        <f>AM35+'Cash Flow Statement'!AN43+'Cash Flow Statement'!AN46+IF((IF(AND(Assumptions!B51&lt;&gt;"",IFERROR(DATEVALUE(TEXT(Assumptions!B51,"MM/DD/YYYY")),0)&gt;=DATE(2029,11,1),IFERROR(DATEVALUE(TEXT(Assumptions!B51,"MM/DD/YYYY")),0)&lt;=DATE(2029,11,30)),1,0)+IF(AND(Assumptions!B52&lt;&gt;"",IFERROR(DATEVALUE(TEXT(Assumptions!B52,"MM/DD/YYYY")),0)&gt;=DATE(2029,11,1),IFERROR(DATEVALUE(TEXT(Assumptions!B52,"MM/DD/YYYY")),0)&lt;=DATE(2029,11,30)),1,0)+IF(AND(Assumptions!B53&lt;&gt;"",IFERROR(DATEVALUE(TEXT(Assumptions!B53,"MM/DD/YYYY")),0)&gt;=DATE(2029,11,1),IFERROR(DATEVALUE(TEXT(Assumptions!B53,"MM/DD/YYYY")),0)&lt;=DATE(2029,11,30)),1,0)+IF(AND(Assumptions!B54&lt;&gt;"",IFERROR(DATEVALUE(TEXT(Assumptions!B54,"MM/DD/YYYY")),0)&gt;=DATE(2029,11,1),IFERROR(DATEVALUE(TEXT(Assumptions!B54,"MM/DD/YYYY")),0)&lt;=DATE(2029,11,30)),1,0)+IF(AND(Assumptions!B55&lt;&gt;"",IFERROR(DATEVALUE(TEXT(Assumptions!B55,"MM/DD/YYYY")),0)&gt;=DATE(2029,11,1),IFERROR(DATEVALUE(TEXT(Assumptions!B55,"MM/DD/YYYY")),0)&lt;=DATE(2029,11,30)),1,0)+IF(AND(Assumptions!B56&lt;&gt;"",IFERROR(DATEVALUE(TEXT(Assumptions!B56,"MM/DD/YYYY")),0)&gt;=DATE(2029,11,1),IFERROR(DATEVALUE(TEXT(Assumptions!B56,"MM/DD/YYYY")),0)&lt;=DATE(2029,11,30)),1,0)+IF(AND(Assumptions!B57&lt;&gt;"",IFERROR(DATEVALUE(TEXT(Assumptions!B57,"MM/DD/YYYY")),0)&gt;=DATE(2029,11,1),IFERROR(DATEVALUE(TEXT(Assumptions!B57,"MM/DD/YYYY")),0)&lt;=DATE(2029,11,30)),1,0)+IF(AND(Assumptions!B58&lt;&gt;"",IFERROR(DATEVALUE(TEXT(Assumptions!B58,"MM/DD/YYYY")),0)&gt;=DATE(2029,11,1),IFERROR(DATEVALUE(TEXT(Assumptions!B58,"MM/DD/YYYY")),0)&lt;=DATE(2029,11,30)),1,0)+IF(AND(Assumptions!B59&lt;&gt;"",IFERROR(DATEVALUE(TEXT(Assumptions!B59,"MM/DD/YYYY")),0)&gt;=DATE(2029,11,1),IFERROR(DATEVALUE(TEXT(Assumptions!B59,"MM/DD/YYYY")),0)&lt;=DATE(2029,11,30)),1,0)+IF(AND(Assumptions!B60&lt;&gt;"",IFERROR(DATEVALUE(TEXT(Assumptions!B60,"MM/DD/YYYY")),0)&gt;=DATE(2029,11,1),IFERROR(DATEVALUE(TEXT(Assumptions!B60,"MM/DD/YYYY")),0)&lt;=DATE(2029,11,30)),1,0))&gt;0,'Working Capital'!AN19-'Working Capital'!AM19,0)</f>
        <v/>
      </c>
      <c r="AO35" s="156">
        <f>AN35+'Cash Flow Statement'!AO43+'Cash Flow Statement'!AO46+IF((IF(AND(Assumptions!B51&lt;&gt;"",IFERROR(DATEVALUE(TEXT(Assumptions!B51,"MM/DD/YYYY")),0)&gt;=DATE(2029,12,1),IFERROR(DATEVALUE(TEXT(Assumptions!B51,"MM/DD/YYYY")),0)&lt;=DATE(2029,12,31)),1,0)+IF(AND(Assumptions!B52&lt;&gt;"",IFERROR(DATEVALUE(TEXT(Assumptions!B52,"MM/DD/YYYY")),0)&gt;=DATE(2029,12,1),IFERROR(DATEVALUE(TEXT(Assumptions!B52,"MM/DD/YYYY")),0)&lt;=DATE(2029,12,31)),1,0)+IF(AND(Assumptions!B53&lt;&gt;"",IFERROR(DATEVALUE(TEXT(Assumptions!B53,"MM/DD/YYYY")),0)&gt;=DATE(2029,12,1),IFERROR(DATEVALUE(TEXT(Assumptions!B53,"MM/DD/YYYY")),0)&lt;=DATE(2029,12,31)),1,0)+IF(AND(Assumptions!B54&lt;&gt;"",IFERROR(DATEVALUE(TEXT(Assumptions!B54,"MM/DD/YYYY")),0)&gt;=DATE(2029,12,1),IFERROR(DATEVALUE(TEXT(Assumptions!B54,"MM/DD/YYYY")),0)&lt;=DATE(2029,12,31)),1,0)+IF(AND(Assumptions!B55&lt;&gt;"",IFERROR(DATEVALUE(TEXT(Assumptions!B55,"MM/DD/YYYY")),0)&gt;=DATE(2029,12,1),IFERROR(DATEVALUE(TEXT(Assumptions!B55,"MM/DD/YYYY")),0)&lt;=DATE(2029,12,31)),1,0)+IF(AND(Assumptions!B56&lt;&gt;"",IFERROR(DATEVALUE(TEXT(Assumptions!B56,"MM/DD/YYYY")),0)&gt;=DATE(2029,12,1),IFERROR(DATEVALUE(TEXT(Assumptions!B56,"MM/DD/YYYY")),0)&lt;=DATE(2029,12,31)),1,0)+IF(AND(Assumptions!B57&lt;&gt;"",IFERROR(DATEVALUE(TEXT(Assumptions!B57,"MM/DD/YYYY")),0)&gt;=DATE(2029,12,1),IFERROR(DATEVALUE(TEXT(Assumptions!B57,"MM/DD/YYYY")),0)&lt;=DATE(2029,12,31)),1,0)+IF(AND(Assumptions!B58&lt;&gt;"",IFERROR(DATEVALUE(TEXT(Assumptions!B58,"MM/DD/YYYY")),0)&gt;=DATE(2029,12,1),IFERROR(DATEVALUE(TEXT(Assumptions!B58,"MM/DD/YYYY")),0)&lt;=DATE(2029,12,31)),1,0)+IF(AND(Assumptions!B59&lt;&gt;"",IFERROR(DATEVALUE(TEXT(Assumptions!B59,"MM/DD/YYYY")),0)&gt;=DATE(2029,12,1),IFERROR(DATEVALUE(TEXT(Assumptions!B59,"MM/DD/YYYY")),0)&lt;=DATE(2029,12,31)),1,0)+IF(AND(Assumptions!B60&lt;&gt;"",IFERROR(DATEVALUE(TEXT(Assumptions!B60,"MM/DD/YYYY")),0)&gt;=DATE(2029,12,1),IFERROR(DATEVALUE(TEXT(Assumptions!B60,"MM/DD/YYYY")),0)&lt;=DATE(2029,12,31)),1,0))&gt;0,'Working Capital'!AO19-'Working Capital'!AN19,0)</f>
        <v/>
      </c>
      <c r="AP35" s="156">
        <f>AO35+'Cash Flow Statement'!AP43+'Cash Flow Statement'!AP46+IF((IF(AND(Assumptions!B51&lt;&gt;"",IFERROR(DATEVALUE(TEXT(Assumptions!B51,"MM/DD/YYYY")),0)&gt;=DATE(2030,1,1),IFERROR(DATEVALUE(TEXT(Assumptions!B51,"MM/DD/YYYY")),0)&lt;=DATE(2030,1,31)),1,0)+IF(AND(Assumptions!B52&lt;&gt;"",IFERROR(DATEVALUE(TEXT(Assumptions!B52,"MM/DD/YYYY")),0)&gt;=DATE(2030,1,1),IFERROR(DATEVALUE(TEXT(Assumptions!B52,"MM/DD/YYYY")),0)&lt;=DATE(2030,1,31)),1,0)+IF(AND(Assumptions!B53&lt;&gt;"",IFERROR(DATEVALUE(TEXT(Assumptions!B53,"MM/DD/YYYY")),0)&gt;=DATE(2030,1,1),IFERROR(DATEVALUE(TEXT(Assumptions!B53,"MM/DD/YYYY")),0)&lt;=DATE(2030,1,31)),1,0)+IF(AND(Assumptions!B54&lt;&gt;"",IFERROR(DATEVALUE(TEXT(Assumptions!B54,"MM/DD/YYYY")),0)&gt;=DATE(2030,1,1),IFERROR(DATEVALUE(TEXT(Assumptions!B54,"MM/DD/YYYY")),0)&lt;=DATE(2030,1,31)),1,0)+IF(AND(Assumptions!B55&lt;&gt;"",IFERROR(DATEVALUE(TEXT(Assumptions!B55,"MM/DD/YYYY")),0)&gt;=DATE(2030,1,1),IFERROR(DATEVALUE(TEXT(Assumptions!B55,"MM/DD/YYYY")),0)&lt;=DATE(2030,1,31)),1,0)+IF(AND(Assumptions!B56&lt;&gt;"",IFERROR(DATEVALUE(TEXT(Assumptions!B56,"MM/DD/YYYY")),0)&gt;=DATE(2030,1,1),IFERROR(DATEVALUE(TEXT(Assumptions!B56,"MM/DD/YYYY")),0)&lt;=DATE(2030,1,31)),1,0)+IF(AND(Assumptions!B57&lt;&gt;"",IFERROR(DATEVALUE(TEXT(Assumptions!B57,"MM/DD/YYYY")),0)&gt;=DATE(2030,1,1),IFERROR(DATEVALUE(TEXT(Assumptions!B57,"MM/DD/YYYY")),0)&lt;=DATE(2030,1,31)),1,0)+IF(AND(Assumptions!B58&lt;&gt;"",IFERROR(DATEVALUE(TEXT(Assumptions!B58,"MM/DD/YYYY")),0)&gt;=DATE(2030,1,1),IFERROR(DATEVALUE(TEXT(Assumptions!B58,"MM/DD/YYYY")),0)&lt;=DATE(2030,1,31)),1,0)+IF(AND(Assumptions!B59&lt;&gt;"",IFERROR(DATEVALUE(TEXT(Assumptions!B59,"MM/DD/YYYY")),0)&gt;=DATE(2030,1,1),IFERROR(DATEVALUE(TEXT(Assumptions!B59,"MM/DD/YYYY")),0)&lt;=DATE(2030,1,31)),1,0)+IF(AND(Assumptions!B60&lt;&gt;"",IFERROR(DATEVALUE(TEXT(Assumptions!B60,"MM/DD/YYYY")),0)&gt;=DATE(2030,1,1),IFERROR(DATEVALUE(TEXT(Assumptions!B60,"MM/DD/YYYY")),0)&lt;=DATE(2030,1,31)),1,0))&gt;0,'Working Capital'!AP19-'Working Capital'!AO19,0)</f>
        <v/>
      </c>
      <c r="AQ35" s="156">
        <f>AP35+'Cash Flow Statement'!AQ43+'Cash Flow Statement'!AQ46+IF((IF(AND(Assumptions!B51&lt;&gt;"",IFERROR(DATEVALUE(TEXT(Assumptions!B51,"MM/DD/YYYY")),0)&gt;=DATE(2030,2,1),IFERROR(DATEVALUE(TEXT(Assumptions!B51,"MM/DD/YYYY")),0)&lt;=DATE(2030,2,28)),1,0)+IF(AND(Assumptions!B52&lt;&gt;"",IFERROR(DATEVALUE(TEXT(Assumptions!B52,"MM/DD/YYYY")),0)&gt;=DATE(2030,2,1),IFERROR(DATEVALUE(TEXT(Assumptions!B52,"MM/DD/YYYY")),0)&lt;=DATE(2030,2,28)),1,0)+IF(AND(Assumptions!B53&lt;&gt;"",IFERROR(DATEVALUE(TEXT(Assumptions!B53,"MM/DD/YYYY")),0)&gt;=DATE(2030,2,1),IFERROR(DATEVALUE(TEXT(Assumptions!B53,"MM/DD/YYYY")),0)&lt;=DATE(2030,2,28)),1,0)+IF(AND(Assumptions!B54&lt;&gt;"",IFERROR(DATEVALUE(TEXT(Assumptions!B54,"MM/DD/YYYY")),0)&gt;=DATE(2030,2,1),IFERROR(DATEVALUE(TEXT(Assumptions!B54,"MM/DD/YYYY")),0)&lt;=DATE(2030,2,28)),1,0)+IF(AND(Assumptions!B55&lt;&gt;"",IFERROR(DATEVALUE(TEXT(Assumptions!B55,"MM/DD/YYYY")),0)&gt;=DATE(2030,2,1),IFERROR(DATEVALUE(TEXT(Assumptions!B55,"MM/DD/YYYY")),0)&lt;=DATE(2030,2,28)),1,0)+IF(AND(Assumptions!B56&lt;&gt;"",IFERROR(DATEVALUE(TEXT(Assumptions!B56,"MM/DD/YYYY")),0)&gt;=DATE(2030,2,1),IFERROR(DATEVALUE(TEXT(Assumptions!B56,"MM/DD/YYYY")),0)&lt;=DATE(2030,2,28)),1,0)+IF(AND(Assumptions!B57&lt;&gt;"",IFERROR(DATEVALUE(TEXT(Assumptions!B57,"MM/DD/YYYY")),0)&gt;=DATE(2030,2,1),IFERROR(DATEVALUE(TEXT(Assumptions!B57,"MM/DD/YYYY")),0)&lt;=DATE(2030,2,28)),1,0)+IF(AND(Assumptions!B58&lt;&gt;"",IFERROR(DATEVALUE(TEXT(Assumptions!B58,"MM/DD/YYYY")),0)&gt;=DATE(2030,2,1),IFERROR(DATEVALUE(TEXT(Assumptions!B58,"MM/DD/YYYY")),0)&lt;=DATE(2030,2,28)),1,0)+IF(AND(Assumptions!B59&lt;&gt;"",IFERROR(DATEVALUE(TEXT(Assumptions!B59,"MM/DD/YYYY")),0)&gt;=DATE(2030,2,1),IFERROR(DATEVALUE(TEXT(Assumptions!B59,"MM/DD/YYYY")),0)&lt;=DATE(2030,2,28)),1,0)+IF(AND(Assumptions!B60&lt;&gt;"",IFERROR(DATEVALUE(TEXT(Assumptions!B60,"MM/DD/YYYY")),0)&gt;=DATE(2030,2,1),IFERROR(DATEVALUE(TEXT(Assumptions!B60,"MM/DD/YYYY")),0)&lt;=DATE(2030,2,28)),1,0))&gt;0,'Working Capital'!AQ19-'Working Capital'!AP19,0)</f>
        <v/>
      </c>
      <c r="AR35" s="156">
        <f>AQ35+'Cash Flow Statement'!AR43+'Cash Flow Statement'!AR46+IF((IF(AND(Assumptions!B51&lt;&gt;"",IFERROR(DATEVALUE(TEXT(Assumptions!B51,"MM/DD/YYYY")),0)&gt;=DATE(2030,3,1),IFERROR(DATEVALUE(TEXT(Assumptions!B51,"MM/DD/YYYY")),0)&lt;=DATE(2030,3,31)),1,0)+IF(AND(Assumptions!B52&lt;&gt;"",IFERROR(DATEVALUE(TEXT(Assumptions!B52,"MM/DD/YYYY")),0)&gt;=DATE(2030,3,1),IFERROR(DATEVALUE(TEXT(Assumptions!B52,"MM/DD/YYYY")),0)&lt;=DATE(2030,3,31)),1,0)+IF(AND(Assumptions!B53&lt;&gt;"",IFERROR(DATEVALUE(TEXT(Assumptions!B53,"MM/DD/YYYY")),0)&gt;=DATE(2030,3,1),IFERROR(DATEVALUE(TEXT(Assumptions!B53,"MM/DD/YYYY")),0)&lt;=DATE(2030,3,31)),1,0)+IF(AND(Assumptions!B54&lt;&gt;"",IFERROR(DATEVALUE(TEXT(Assumptions!B54,"MM/DD/YYYY")),0)&gt;=DATE(2030,3,1),IFERROR(DATEVALUE(TEXT(Assumptions!B54,"MM/DD/YYYY")),0)&lt;=DATE(2030,3,31)),1,0)+IF(AND(Assumptions!B55&lt;&gt;"",IFERROR(DATEVALUE(TEXT(Assumptions!B55,"MM/DD/YYYY")),0)&gt;=DATE(2030,3,1),IFERROR(DATEVALUE(TEXT(Assumptions!B55,"MM/DD/YYYY")),0)&lt;=DATE(2030,3,31)),1,0)+IF(AND(Assumptions!B56&lt;&gt;"",IFERROR(DATEVALUE(TEXT(Assumptions!B56,"MM/DD/YYYY")),0)&gt;=DATE(2030,3,1),IFERROR(DATEVALUE(TEXT(Assumptions!B56,"MM/DD/YYYY")),0)&lt;=DATE(2030,3,31)),1,0)+IF(AND(Assumptions!B57&lt;&gt;"",IFERROR(DATEVALUE(TEXT(Assumptions!B57,"MM/DD/YYYY")),0)&gt;=DATE(2030,3,1),IFERROR(DATEVALUE(TEXT(Assumptions!B57,"MM/DD/YYYY")),0)&lt;=DATE(2030,3,31)),1,0)+IF(AND(Assumptions!B58&lt;&gt;"",IFERROR(DATEVALUE(TEXT(Assumptions!B58,"MM/DD/YYYY")),0)&gt;=DATE(2030,3,1),IFERROR(DATEVALUE(TEXT(Assumptions!B58,"MM/DD/YYYY")),0)&lt;=DATE(2030,3,31)),1,0)+IF(AND(Assumptions!B59&lt;&gt;"",IFERROR(DATEVALUE(TEXT(Assumptions!B59,"MM/DD/YYYY")),0)&gt;=DATE(2030,3,1),IFERROR(DATEVALUE(TEXT(Assumptions!B59,"MM/DD/YYYY")),0)&lt;=DATE(2030,3,31)),1,0)+IF(AND(Assumptions!B60&lt;&gt;"",IFERROR(DATEVALUE(TEXT(Assumptions!B60,"MM/DD/YYYY")),0)&gt;=DATE(2030,3,1),IFERROR(DATEVALUE(TEXT(Assumptions!B60,"MM/DD/YYYY")),0)&lt;=DATE(2030,3,31)),1,0))&gt;0,'Working Capital'!AR19-'Working Capital'!AQ19,0)</f>
        <v/>
      </c>
      <c r="AS35" s="156">
        <f>AR35+'Cash Flow Statement'!AS43+'Cash Flow Statement'!AS46+IF((IF(AND(Assumptions!B51&lt;&gt;"",IFERROR(DATEVALUE(TEXT(Assumptions!B51,"MM/DD/YYYY")),0)&gt;=DATE(2030,4,1),IFERROR(DATEVALUE(TEXT(Assumptions!B51,"MM/DD/YYYY")),0)&lt;=DATE(2030,4,30)),1,0)+IF(AND(Assumptions!B52&lt;&gt;"",IFERROR(DATEVALUE(TEXT(Assumptions!B52,"MM/DD/YYYY")),0)&gt;=DATE(2030,4,1),IFERROR(DATEVALUE(TEXT(Assumptions!B52,"MM/DD/YYYY")),0)&lt;=DATE(2030,4,30)),1,0)+IF(AND(Assumptions!B53&lt;&gt;"",IFERROR(DATEVALUE(TEXT(Assumptions!B53,"MM/DD/YYYY")),0)&gt;=DATE(2030,4,1),IFERROR(DATEVALUE(TEXT(Assumptions!B53,"MM/DD/YYYY")),0)&lt;=DATE(2030,4,30)),1,0)+IF(AND(Assumptions!B54&lt;&gt;"",IFERROR(DATEVALUE(TEXT(Assumptions!B54,"MM/DD/YYYY")),0)&gt;=DATE(2030,4,1),IFERROR(DATEVALUE(TEXT(Assumptions!B54,"MM/DD/YYYY")),0)&lt;=DATE(2030,4,30)),1,0)+IF(AND(Assumptions!B55&lt;&gt;"",IFERROR(DATEVALUE(TEXT(Assumptions!B55,"MM/DD/YYYY")),0)&gt;=DATE(2030,4,1),IFERROR(DATEVALUE(TEXT(Assumptions!B55,"MM/DD/YYYY")),0)&lt;=DATE(2030,4,30)),1,0)+IF(AND(Assumptions!B56&lt;&gt;"",IFERROR(DATEVALUE(TEXT(Assumptions!B56,"MM/DD/YYYY")),0)&gt;=DATE(2030,4,1),IFERROR(DATEVALUE(TEXT(Assumptions!B56,"MM/DD/YYYY")),0)&lt;=DATE(2030,4,30)),1,0)+IF(AND(Assumptions!B57&lt;&gt;"",IFERROR(DATEVALUE(TEXT(Assumptions!B57,"MM/DD/YYYY")),0)&gt;=DATE(2030,4,1),IFERROR(DATEVALUE(TEXT(Assumptions!B57,"MM/DD/YYYY")),0)&lt;=DATE(2030,4,30)),1,0)+IF(AND(Assumptions!B58&lt;&gt;"",IFERROR(DATEVALUE(TEXT(Assumptions!B58,"MM/DD/YYYY")),0)&gt;=DATE(2030,4,1),IFERROR(DATEVALUE(TEXT(Assumptions!B58,"MM/DD/YYYY")),0)&lt;=DATE(2030,4,30)),1,0)+IF(AND(Assumptions!B59&lt;&gt;"",IFERROR(DATEVALUE(TEXT(Assumptions!B59,"MM/DD/YYYY")),0)&gt;=DATE(2030,4,1),IFERROR(DATEVALUE(TEXT(Assumptions!B59,"MM/DD/YYYY")),0)&lt;=DATE(2030,4,30)),1,0)+IF(AND(Assumptions!B60&lt;&gt;"",IFERROR(DATEVALUE(TEXT(Assumptions!B60,"MM/DD/YYYY")),0)&gt;=DATE(2030,4,1),IFERROR(DATEVALUE(TEXT(Assumptions!B60,"MM/DD/YYYY")),0)&lt;=DATE(2030,4,30)),1,0))&gt;0,'Working Capital'!AS19-'Working Capital'!AR19,0)</f>
        <v/>
      </c>
      <c r="AT35" s="156">
        <f>AS35+'Cash Flow Statement'!AT43+'Cash Flow Statement'!AT46+IF((IF(AND(Assumptions!B51&lt;&gt;"",IFERROR(DATEVALUE(TEXT(Assumptions!B51,"MM/DD/YYYY")),0)&gt;=DATE(2030,5,1),IFERROR(DATEVALUE(TEXT(Assumptions!B51,"MM/DD/YYYY")),0)&lt;=DATE(2030,5,31)),1,0)+IF(AND(Assumptions!B52&lt;&gt;"",IFERROR(DATEVALUE(TEXT(Assumptions!B52,"MM/DD/YYYY")),0)&gt;=DATE(2030,5,1),IFERROR(DATEVALUE(TEXT(Assumptions!B52,"MM/DD/YYYY")),0)&lt;=DATE(2030,5,31)),1,0)+IF(AND(Assumptions!B53&lt;&gt;"",IFERROR(DATEVALUE(TEXT(Assumptions!B53,"MM/DD/YYYY")),0)&gt;=DATE(2030,5,1),IFERROR(DATEVALUE(TEXT(Assumptions!B53,"MM/DD/YYYY")),0)&lt;=DATE(2030,5,31)),1,0)+IF(AND(Assumptions!B54&lt;&gt;"",IFERROR(DATEVALUE(TEXT(Assumptions!B54,"MM/DD/YYYY")),0)&gt;=DATE(2030,5,1),IFERROR(DATEVALUE(TEXT(Assumptions!B54,"MM/DD/YYYY")),0)&lt;=DATE(2030,5,31)),1,0)+IF(AND(Assumptions!B55&lt;&gt;"",IFERROR(DATEVALUE(TEXT(Assumptions!B55,"MM/DD/YYYY")),0)&gt;=DATE(2030,5,1),IFERROR(DATEVALUE(TEXT(Assumptions!B55,"MM/DD/YYYY")),0)&lt;=DATE(2030,5,31)),1,0)+IF(AND(Assumptions!B56&lt;&gt;"",IFERROR(DATEVALUE(TEXT(Assumptions!B56,"MM/DD/YYYY")),0)&gt;=DATE(2030,5,1),IFERROR(DATEVALUE(TEXT(Assumptions!B56,"MM/DD/YYYY")),0)&lt;=DATE(2030,5,31)),1,0)+IF(AND(Assumptions!B57&lt;&gt;"",IFERROR(DATEVALUE(TEXT(Assumptions!B57,"MM/DD/YYYY")),0)&gt;=DATE(2030,5,1),IFERROR(DATEVALUE(TEXT(Assumptions!B57,"MM/DD/YYYY")),0)&lt;=DATE(2030,5,31)),1,0)+IF(AND(Assumptions!B58&lt;&gt;"",IFERROR(DATEVALUE(TEXT(Assumptions!B58,"MM/DD/YYYY")),0)&gt;=DATE(2030,5,1),IFERROR(DATEVALUE(TEXT(Assumptions!B58,"MM/DD/YYYY")),0)&lt;=DATE(2030,5,31)),1,0)+IF(AND(Assumptions!B59&lt;&gt;"",IFERROR(DATEVALUE(TEXT(Assumptions!B59,"MM/DD/YYYY")),0)&gt;=DATE(2030,5,1),IFERROR(DATEVALUE(TEXT(Assumptions!B59,"MM/DD/YYYY")),0)&lt;=DATE(2030,5,31)),1,0)+IF(AND(Assumptions!B60&lt;&gt;"",IFERROR(DATEVALUE(TEXT(Assumptions!B60,"MM/DD/YYYY")),0)&gt;=DATE(2030,5,1),IFERROR(DATEVALUE(TEXT(Assumptions!B60,"MM/DD/YYYY")),0)&lt;=DATE(2030,5,31)),1,0))&gt;0,'Working Capital'!AT19-'Working Capital'!AS19,0)</f>
        <v/>
      </c>
      <c r="AU35" s="156">
        <f>AT35+'Cash Flow Statement'!AU43+'Cash Flow Statement'!AU46+IF((IF(AND(Assumptions!B51&lt;&gt;"",IFERROR(DATEVALUE(TEXT(Assumptions!B51,"MM/DD/YYYY")),0)&gt;=DATE(2030,6,1),IFERROR(DATEVALUE(TEXT(Assumptions!B51,"MM/DD/YYYY")),0)&lt;=DATE(2030,6,30)),1,0)+IF(AND(Assumptions!B52&lt;&gt;"",IFERROR(DATEVALUE(TEXT(Assumptions!B52,"MM/DD/YYYY")),0)&gt;=DATE(2030,6,1),IFERROR(DATEVALUE(TEXT(Assumptions!B52,"MM/DD/YYYY")),0)&lt;=DATE(2030,6,30)),1,0)+IF(AND(Assumptions!B53&lt;&gt;"",IFERROR(DATEVALUE(TEXT(Assumptions!B53,"MM/DD/YYYY")),0)&gt;=DATE(2030,6,1),IFERROR(DATEVALUE(TEXT(Assumptions!B53,"MM/DD/YYYY")),0)&lt;=DATE(2030,6,30)),1,0)+IF(AND(Assumptions!B54&lt;&gt;"",IFERROR(DATEVALUE(TEXT(Assumptions!B54,"MM/DD/YYYY")),0)&gt;=DATE(2030,6,1),IFERROR(DATEVALUE(TEXT(Assumptions!B54,"MM/DD/YYYY")),0)&lt;=DATE(2030,6,30)),1,0)+IF(AND(Assumptions!B55&lt;&gt;"",IFERROR(DATEVALUE(TEXT(Assumptions!B55,"MM/DD/YYYY")),0)&gt;=DATE(2030,6,1),IFERROR(DATEVALUE(TEXT(Assumptions!B55,"MM/DD/YYYY")),0)&lt;=DATE(2030,6,30)),1,0)+IF(AND(Assumptions!B56&lt;&gt;"",IFERROR(DATEVALUE(TEXT(Assumptions!B56,"MM/DD/YYYY")),0)&gt;=DATE(2030,6,1),IFERROR(DATEVALUE(TEXT(Assumptions!B56,"MM/DD/YYYY")),0)&lt;=DATE(2030,6,30)),1,0)+IF(AND(Assumptions!B57&lt;&gt;"",IFERROR(DATEVALUE(TEXT(Assumptions!B57,"MM/DD/YYYY")),0)&gt;=DATE(2030,6,1),IFERROR(DATEVALUE(TEXT(Assumptions!B57,"MM/DD/YYYY")),0)&lt;=DATE(2030,6,30)),1,0)+IF(AND(Assumptions!B58&lt;&gt;"",IFERROR(DATEVALUE(TEXT(Assumptions!B58,"MM/DD/YYYY")),0)&gt;=DATE(2030,6,1),IFERROR(DATEVALUE(TEXT(Assumptions!B58,"MM/DD/YYYY")),0)&lt;=DATE(2030,6,30)),1,0)+IF(AND(Assumptions!B59&lt;&gt;"",IFERROR(DATEVALUE(TEXT(Assumptions!B59,"MM/DD/YYYY")),0)&gt;=DATE(2030,6,1),IFERROR(DATEVALUE(TEXT(Assumptions!B59,"MM/DD/YYYY")),0)&lt;=DATE(2030,6,30)),1,0)+IF(AND(Assumptions!B60&lt;&gt;"",IFERROR(DATEVALUE(TEXT(Assumptions!B60,"MM/DD/YYYY")),0)&gt;=DATE(2030,6,1),IFERROR(DATEVALUE(TEXT(Assumptions!B60,"MM/DD/YYYY")),0)&lt;=DATE(2030,6,30)),1,0))&gt;0,'Working Capital'!AU19-'Working Capital'!AT19,0)</f>
        <v/>
      </c>
      <c r="AV35" s="156">
        <f>AU35+'Cash Flow Statement'!AV43+'Cash Flow Statement'!AV46+IF((IF(AND(Assumptions!B51&lt;&gt;"",IFERROR(DATEVALUE(TEXT(Assumptions!B51,"MM/DD/YYYY")),0)&gt;=DATE(2030,7,1),IFERROR(DATEVALUE(TEXT(Assumptions!B51,"MM/DD/YYYY")),0)&lt;=DATE(2030,7,31)),1,0)+IF(AND(Assumptions!B52&lt;&gt;"",IFERROR(DATEVALUE(TEXT(Assumptions!B52,"MM/DD/YYYY")),0)&gt;=DATE(2030,7,1),IFERROR(DATEVALUE(TEXT(Assumptions!B52,"MM/DD/YYYY")),0)&lt;=DATE(2030,7,31)),1,0)+IF(AND(Assumptions!B53&lt;&gt;"",IFERROR(DATEVALUE(TEXT(Assumptions!B53,"MM/DD/YYYY")),0)&gt;=DATE(2030,7,1),IFERROR(DATEVALUE(TEXT(Assumptions!B53,"MM/DD/YYYY")),0)&lt;=DATE(2030,7,31)),1,0)+IF(AND(Assumptions!B54&lt;&gt;"",IFERROR(DATEVALUE(TEXT(Assumptions!B54,"MM/DD/YYYY")),0)&gt;=DATE(2030,7,1),IFERROR(DATEVALUE(TEXT(Assumptions!B54,"MM/DD/YYYY")),0)&lt;=DATE(2030,7,31)),1,0)+IF(AND(Assumptions!B55&lt;&gt;"",IFERROR(DATEVALUE(TEXT(Assumptions!B55,"MM/DD/YYYY")),0)&gt;=DATE(2030,7,1),IFERROR(DATEVALUE(TEXT(Assumptions!B55,"MM/DD/YYYY")),0)&lt;=DATE(2030,7,31)),1,0)+IF(AND(Assumptions!B56&lt;&gt;"",IFERROR(DATEVALUE(TEXT(Assumptions!B56,"MM/DD/YYYY")),0)&gt;=DATE(2030,7,1),IFERROR(DATEVALUE(TEXT(Assumptions!B56,"MM/DD/YYYY")),0)&lt;=DATE(2030,7,31)),1,0)+IF(AND(Assumptions!B57&lt;&gt;"",IFERROR(DATEVALUE(TEXT(Assumptions!B57,"MM/DD/YYYY")),0)&gt;=DATE(2030,7,1),IFERROR(DATEVALUE(TEXT(Assumptions!B57,"MM/DD/YYYY")),0)&lt;=DATE(2030,7,31)),1,0)+IF(AND(Assumptions!B58&lt;&gt;"",IFERROR(DATEVALUE(TEXT(Assumptions!B58,"MM/DD/YYYY")),0)&gt;=DATE(2030,7,1),IFERROR(DATEVALUE(TEXT(Assumptions!B58,"MM/DD/YYYY")),0)&lt;=DATE(2030,7,31)),1,0)+IF(AND(Assumptions!B59&lt;&gt;"",IFERROR(DATEVALUE(TEXT(Assumptions!B59,"MM/DD/YYYY")),0)&gt;=DATE(2030,7,1),IFERROR(DATEVALUE(TEXT(Assumptions!B59,"MM/DD/YYYY")),0)&lt;=DATE(2030,7,31)),1,0)+IF(AND(Assumptions!B60&lt;&gt;"",IFERROR(DATEVALUE(TEXT(Assumptions!B60,"MM/DD/YYYY")),0)&gt;=DATE(2030,7,1),IFERROR(DATEVALUE(TEXT(Assumptions!B60,"MM/DD/YYYY")),0)&lt;=DATE(2030,7,31)),1,0))&gt;0,'Working Capital'!AV19-'Working Capital'!AU19,0)</f>
        <v/>
      </c>
      <c r="AW35" s="156">
        <f>AV35+'Cash Flow Statement'!AW43+'Cash Flow Statement'!AW46+IF((IF(AND(Assumptions!B51&lt;&gt;"",IFERROR(DATEVALUE(TEXT(Assumptions!B51,"MM/DD/YYYY")),0)&gt;=DATE(2030,8,1),IFERROR(DATEVALUE(TEXT(Assumptions!B51,"MM/DD/YYYY")),0)&lt;=DATE(2030,8,31)),1,0)+IF(AND(Assumptions!B52&lt;&gt;"",IFERROR(DATEVALUE(TEXT(Assumptions!B52,"MM/DD/YYYY")),0)&gt;=DATE(2030,8,1),IFERROR(DATEVALUE(TEXT(Assumptions!B52,"MM/DD/YYYY")),0)&lt;=DATE(2030,8,31)),1,0)+IF(AND(Assumptions!B53&lt;&gt;"",IFERROR(DATEVALUE(TEXT(Assumptions!B53,"MM/DD/YYYY")),0)&gt;=DATE(2030,8,1),IFERROR(DATEVALUE(TEXT(Assumptions!B53,"MM/DD/YYYY")),0)&lt;=DATE(2030,8,31)),1,0)+IF(AND(Assumptions!B54&lt;&gt;"",IFERROR(DATEVALUE(TEXT(Assumptions!B54,"MM/DD/YYYY")),0)&gt;=DATE(2030,8,1),IFERROR(DATEVALUE(TEXT(Assumptions!B54,"MM/DD/YYYY")),0)&lt;=DATE(2030,8,31)),1,0)+IF(AND(Assumptions!B55&lt;&gt;"",IFERROR(DATEVALUE(TEXT(Assumptions!B55,"MM/DD/YYYY")),0)&gt;=DATE(2030,8,1),IFERROR(DATEVALUE(TEXT(Assumptions!B55,"MM/DD/YYYY")),0)&lt;=DATE(2030,8,31)),1,0)+IF(AND(Assumptions!B56&lt;&gt;"",IFERROR(DATEVALUE(TEXT(Assumptions!B56,"MM/DD/YYYY")),0)&gt;=DATE(2030,8,1),IFERROR(DATEVALUE(TEXT(Assumptions!B56,"MM/DD/YYYY")),0)&lt;=DATE(2030,8,31)),1,0)+IF(AND(Assumptions!B57&lt;&gt;"",IFERROR(DATEVALUE(TEXT(Assumptions!B57,"MM/DD/YYYY")),0)&gt;=DATE(2030,8,1),IFERROR(DATEVALUE(TEXT(Assumptions!B57,"MM/DD/YYYY")),0)&lt;=DATE(2030,8,31)),1,0)+IF(AND(Assumptions!B58&lt;&gt;"",IFERROR(DATEVALUE(TEXT(Assumptions!B58,"MM/DD/YYYY")),0)&gt;=DATE(2030,8,1),IFERROR(DATEVALUE(TEXT(Assumptions!B58,"MM/DD/YYYY")),0)&lt;=DATE(2030,8,31)),1,0)+IF(AND(Assumptions!B59&lt;&gt;"",IFERROR(DATEVALUE(TEXT(Assumptions!B59,"MM/DD/YYYY")),0)&gt;=DATE(2030,8,1),IFERROR(DATEVALUE(TEXT(Assumptions!B59,"MM/DD/YYYY")),0)&lt;=DATE(2030,8,31)),1,0)+IF(AND(Assumptions!B60&lt;&gt;"",IFERROR(DATEVALUE(TEXT(Assumptions!B60,"MM/DD/YYYY")),0)&gt;=DATE(2030,8,1),IFERROR(DATEVALUE(TEXT(Assumptions!B60,"MM/DD/YYYY")),0)&lt;=DATE(2030,8,31)),1,0))&gt;0,'Working Capital'!AW19-'Working Capital'!AV19,0)</f>
        <v/>
      </c>
      <c r="AX35" s="156">
        <f>AW35+'Cash Flow Statement'!AX43+'Cash Flow Statement'!AX46+IF((IF(AND(Assumptions!B51&lt;&gt;"",IFERROR(DATEVALUE(TEXT(Assumptions!B51,"MM/DD/YYYY")),0)&gt;=DATE(2030,9,1),IFERROR(DATEVALUE(TEXT(Assumptions!B51,"MM/DD/YYYY")),0)&lt;=DATE(2030,9,30)),1,0)+IF(AND(Assumptions!B52&lt;&gt;"",IFERROR(DATEVALUE(TEXT(Assumptions!B52,"MM/DD/YYYY")),0)&gt;=DATE(2030,9,1),IFERROR(DATEVALUE(TEXT(Assumptions!B52,"MM/DD/YYYY")),0)&lt;=DATE(2030,9,30)),1,0)+IF(AND(Assumptions!B53&lt;&gt;"",IFERROR(DATEVALUE(TEXT(Assumptions!B53,"MM/DD/YYYY")),0)&gt;=DATE(2030,9,1),IFERROR(DATEVALUE(TEXT(Assumptions!B53,"MM/DD/YYYY")),0)&lt;=DATE(2030,9,30)),1,0)+IF(AND(Assumptions!B54&lt;&gt;"",IFERROR(DATEVALUE(TEXT(Assumptions!B54,"MM/DD/YYYY")),0)&gt;=DATE(2030,9,1),IFERROR(DATEVALUE(TEXT(Assumptions!B54,"MM/DD/YYYY")),0)&lt;=DATE(2030,9,30)),1,0)+IF(AND(Assumptions!B55&lt;&gt;"",IFERROR(DATEVALUE(TEXT(Assumptions!B55,"MM/DD/YYYY")),0)&gt;=DATE(2030,9,1),IFERROR(DATEVALUE(TEXT(Assumptions!B55,"MM/DD/YYYY")),0)&lt;=DATE(2030,9,30)),1,0)+IF(AND(Assumptions!B56&lt;&gt;"",IFERROR(DATEVALUE(TEXT(Assumptions!B56,"MM/DD/YYYY")),0)&gt;=DATE(2030,9,1),IFERROR(DATEVALUE(TEXT(Assumptions!B56,"MM/DD/YYYY")),0)&lt;=DATE(2030,9,30)),1,0)+IF(AND(Assumptions!B57&lt;&gt;"",IFERROR(DATEVALUE(TEXT(Assumptions!B57,"MM/DD/YYYY")),0)&gt;=DATE(2030,9,1),IFERROR(DATEVALUE(TEXT(Assumptions!B57,"MM/DD/YYYY")),0)&lt;=DATE(2030,9,30)),1,0)+IF(AND(Assumptions!B58&lt;&gt;"",IFERROR(DATEVALUE(TEXT(Assumptions!B58,"MM/DD/YYYY")),0)&gt;=DATE(2030,9,1),IFERROR(DATEVALUE(TEXT(Assumptions!B58,"MM/DD/YYYY")),0)&lt;=DATE(2030,9,30)),1,0)+IF(AND(Assumptions!B59&lt;&gt;"",IFERROR(DATEVALUE(TEXT(Assumptions!B59,"MM/DD/YYYY")),0)&gt;=DATE(2030,9,1),IFERROR(DATEVALUE(TEXT(Assumptions!B59,"MM/DD/YYYY")),0)&lt;=DATE(2030,9,30)),1,0)+IF(AND(Assumptions!B60&lt;&gt;"",IFERROR(DATEVALUE(TEXT(Assumptions!B60,"MM/DD/YYYY")),0)&gt;=DATE(2030,9,1),IFERROR(DATEVALUE(TEXT(Assumptions!B60,"MM/DD/YYYY")),0)&lt;=DATE(2030,9,30)),1,0))&gt;0,'Working Capital'!AX19-'Working Capital'!AW19,0)</f>
        <v/>
      </c>
      <c r="AY35" s="156">
        <f>AX35+'Cash Flow Statement'!AY43+'Cash Flow Statement'!AY46+IF((IF(AND(Assumptions!B51&lt;&gt;"",IFERROR(DATEVALUE(TEXT(Assumptions!B51,"MM/DD/YYYY")),0)&gt;=DATE(2030,10,1),IFERROR(DATEVALUE(TEXT(Assumptions!B51,"MM/DD/YYYY")),0)&lt;=DATE(2030,10,31)),1,0)+IF(AND(Assumptions!B52&lt;&gt;"",IFERROR(DATEVALUE(TEXT(Assumptions!B52,"MM/DD/YYYY")),0)&gt;=DATE(2030,10,1),IFERROR(DATEVALUE(TEXT(Assumptions!B52,"MM/DD/YYYY")),0)&lt;=DATE(2030,10,31)),1,0)+IF(AND(Assumptions!B53&lt;&gt;"",IFERROR(DATEVALUE(TEXT(Assumptions!B53,"MM/DD/YYYY")),0)&gt;=DATE(2030,10,1),IFERROR(DATEVALUE(TEXT(Assumptions!B53,"MM/DD/YYYY")),0)&lt;=DATE(2030,10,31)),1,0)+IF(AND(Assumptions!B54&lt;&gt;"",IFERROR(DATEVALUE(TEXT(Assumptions!B54,"MM/DD/YYYY")),0)&gt;=DATE(2030,10,1),IFERROR(DATEVALUE(TEXT(Assumptions!B54,"MM/DD/YYYY")),0)&lt;=DATE(2030,10,31)),1,0)+IF(AND(Assumptions!B55&lt;&gt;"",IFERROR(DATEVALUE(TEXT(Assumptions!B55,"MM/DD/YYYY")),0)&gt;=DATE(2030,10,1),IFERROR(DATEVALUE(TEXT(Assumptions!B55,"MM/DD/YYYY")),0)&lt;=DATE(2030,10,31)),1,0)+IF(AND(Assumptions!B56&lt;&gt;"",IFERROR(DATEVALUE(TEXT(Assumptions!B56,"MM/DD/YYYY")),0)&gt;=DATE(2030,10,1),IFERROR(DATEVALUE(TEXT(Assumptions!B56,"MM/DD/YYYY")),0)&lt;=DATE(2030,10,31)),1,0)+IF(AND(Assumptions!B57&lt;&gt;"",IFERROR(DATEVALUE(TEXT(Assumptions!B57,"MM/DD/YYYY")),0)&gt;=DATE(2030,10,1),IFERROR(DATEVALUE(TEXT(Assumptions!B57,"MM/DD/YYYY")),0)&lt;=DATE(2030,10,31)),1,0)+IF(AND(Assumptions!B58&lt;&gt;"",IFERROR(DATEVALUE(TEXT(Assumptions!B58,"MM/DD/YYYY")),0)&gt;=DATE(2030,10,1),IFERROR(DATEVALUE(TEXT(Assumptions!B58,"MM/DD/YYYY")),0)&lt;=DATE(2030,10,31)),1,0)+IF(AND(Assumptions!B59&lt;&gt;"",IFERROR(DATEVALUE(TEXT(Assumptions!B59,"MM/DD/YYYY")),0)&gt;=DATE(2030,10,1),IFERROR(DATEVALUE(TEXT(Assumptions!B59,"MM/DD/YYYY")),0)&lt;=DATE(2030,10,31)),1,0)+IF(AND(Assumptions!B60&lt;&gt;"",IFERROR(DATEVALUE(TEXT(Assumptions!B60,"MM/DD/YYYY")),0)&gt;=DATE(2030,10,1),IFERROR(DATEVALUE(TEXT(Assumptions!B60,"MM/DD/YYYY")),0)&lt;=DATE(2030,10,31)),1,0))&gt;0,'Working Capital'!AY19-'Working Capital'!AX19,0)</f>
        <v/>
      </c>
      <c r="AZ35" s="156">
        <f>AY35+'Cash Flow Statement'!AZ43+'Cash Flow Statement'!AZ46+IF((IF(AND(Assumptions!B51&lt;&gt;"",IFERROR(DATEVALUE(TEXT(Assumptions!B51,"MM/DD/YYYY")),0)&gt;=DATE(2030,11,1),IFERROR(DATEVALUE(TEXT(Assumptions!B51,"MM/DD/YYYY")),0)&lt;=DATE(2030,11,30)),1,0)+IF(AND(Assumptions!B52&lt;&gt;"",IFERROR(DATEVALUE(TEXT(Assumptions!B52,"MM/DD/YYYY")),0)&gt;=DATE(2030,11,1),IFERROR(DATEVALUE(TEXT(Assumptions!B52,"MM/DD/YYYY")),0)&lt;=DATE(2030,11,30)),1,0)+IF(AND(Assumptions!B53&lt;&gt;"",IFERROR(DATEVALUE(TEXT(Assumptions!B53,"MM/DD/YYYY")),0)&gt;=DATE(2030,11,1),IFERROR(DATEVALUE(TEXT(Assumptions!B53,"MM/DD/YYYY")),0)&lt;=DATE(2030,11,30)),1,0)+IF(AND(Assumptions!B54&lt;&gt;"",IFERROR(DATEVALUE(TEXT(Assumptions!B54,"MM/DD/YYYY")),0)&gt;=DATE(2030,11,1),IFERROR(DATEVALUE(TEXT(Assumptions!B54,"MM/DD/YYYY")),0)&lt;=DATE(2030,11,30)),1,0)+IF(AND(Assumptions!B55&lt;&gt;"",IFERROR(DATEVALUE(TEXT(Assumptions!B55,"MM/DD/YYYY")),0)&gt;=DATE(2030,11,1),IFERROR(DATEVALUE(TEXT(Assumptions!B55,"MM/DD/YYYY")),0)&lt;=DATE(2030,11,30)),1,0)+IF(AND(Assumptions!B56&lt;&gt;"",IFERROR(DATEVALUE(TEXT(Assumptions!B56,"MM/DD/YYYY")),0)&gt;=DATE(2030,11,1),IFERROR(DATEVALUE(TEXT(Assumptions!B56,"MM/DD/YYYY")),0)&lt;=DATE(2030,11,30)),1,0)+IF(AND(Assumptions!B57&lt;&gt;"",IFERROR(DATEVALUE(TEXT(Assumptions!B57,"MM/DD/YYYY")),0)&gt;=DATE(2030,11,1),IFERROR(DATEVALUE(TEXT(Assumptions!B57,"MM/DD/YYYY")),0)&lt;=DATE(2030,11,30)),1,0)+IF(AND(Assumptions!B58&lt;&gt;"",IFERROR(DATEVALUE(TEXT(Assumptions!B58,"MM/DD/YYYY")),0)&gt;=DATE(2030,11,1),IFERROR(DATEVALUE(TEXT(Assumptions!B58,"MM/DD/YYYY")),0)&lt;=DATE(2030,11,30)),1,0)+IF(AND(Assumptions!B59&lt;&gt;"",IFERROR(DATEVALUE(TEXT(Assumptions!B59,"MM/DD/YYYY")),0)&gt;=DATE(2030,11,1),IFERROR(DATEVALUE(TEXT(Assumptions!B59,"MM/DD/YYYY")),0)&lt;=DATE(2030,11,30)),1,0)+IF(AND(Assumptions!B60&lt;&gt;"",IFERROR(DATEVALUE(TEXT(Assumptions!B60,"MM/DD/YYYY")),0)&gt;=DATE(2030,11,1),IFERROR(DATEVALUE(TEXT(Assumptions!B60,"MM/DD/YYYY")),0)&lt;=DATE(2030,11,30)),1,0))&gt;0,'Working Capital'!AZ19-'Working Capital'!AY19,0)</f>
        <v/>
      </c>
      <c r="BA35" s="156">
        <f>AZ35+'Cash Flow Statement'!BA43+'Cash Flow Statement'!BA46+IF((IF(AND(Assumptions!B51&lt;&gt;"",IFERROR(DATEVALUE(TEXT(Assumptions!B51,"MM/DD/YYYY")),0)&gt;=DATE(2030,12,1),IFERROR(DATEVALUE(TEXT(Assumptions!B51,"MM/DD/YYYY")),0)&lt;=DATE(2030,12,31)),1,0)+IF(AND(Assumptions!B52&lt;&gt;"",IFERROR(DATEVALUE(TEXT(Assumptions!B52,"MM/DD/YYYY")),0)&gt;=DATE(2030,12,1),IFERROR(DATEVALUE(TEXT(Assumptions!B52,"MM/DD/YYYY")),0)&lt;=DATE(2030,12,31)),1,0)+IF(AND(Assumptions!B53&lt;&gt;"",IFERROR(DATEVALUE(TEXT(Assumptions!B53,"MM/DD/YYYY")),0)&gt;=DATE(2030,12,1),IFERROR(DATEVALUE(TEXT(Assumptions!B53,"MM/DD/YYYY")),0)&lt;=DATE(2030,12,31)),1,0)+IF(AND(Assumptions!B54&lt;&gt;"",IFERROR(DATEVALUE(TEXT(Assumptions!B54,"MM/DD/YYYY")),0)&gt;=DATE(2030,12,1),IFERROR(DATEVALUE(TEXT(Assumptions!B54,"MM/DD/YYYY")),0)&lt;=DATE(2030,12,31)),1,0)+IF(AND(Assumptions!B55&lt;&gt;"",IFERROR(DATEVALUE(TEXT(Assumptions!B55,"MM/DD/YYYY")),0)&gt;=DATE(2030,12,1),IFERROR(DATEVALUE(TEXT(Assumptions!B55,"MM/DD/YYYY")),0)&lt;=DATE(2030,12,31)),1,0)+IF(AND(Assumptions!B56&lt;&gt;"",IFERROR(DATEVALUE(TEXT(Assumptions!B56,"MM/DD/YYYY")),0)&gt;=DATE(2030,12,1),IFERROR(DATEVALUE(TEXT(Assumptions!B56,"MM/DD/YYYY")),0)&lt;=DATE(2030,12,31)),1,0)+IF(AND(Assumptions!B57&lt;&gt;"",IFERROR(DATEVALUE(TEXT(Assumptions!B57,"MM/DD/YYYY")),0)&gt;=DATE(2030,12,1),IFERROR(DATEVALUE(TEXT(Assumptions!B57,"MM/DD/YYYY")),0)&lt;=DATE(2030,12,31)),1,0)+IF(AND(Assumptions!B58&lt;&gt;"",IFERROR(DATEVALUE(TEXT(Assumptions!B58,"MM/DD/YYYY")),0)&gt;=DATE(2030,12,1),IFERROR(DATEVALUE(TEXT(Assumptions!B58,"MM/DD/YYYY")),0)&lt;=DATE(2030,12,31)),1,0)+IF(AND(Assumptions!B59&lt;&gt;"",IFERROR(DATEVALUE(TEXT(Assumptions!B59,"MM/DD/YYYY")),0)&gt;=DATE(2030,12,1),IFERROR(DATEVALUE(TEXT(Assumptions!B59,"MM/DD/YYYY")),0)&lt;=DATE(2030,12,31)),1,0)+IF(AND(Assumptions!B60&lt;&gt;"",IFERROR(DATEVALUE(TEXT(Assumptions!B60,"MM/DD/YYYY")),0)&gt;=DATE(2030,12,1),IFERROR(DATEVALUE(TEXT(Assumptions!B60,"MM/DD/YYYY")),0)&lt;=DATE(2030,12,31)),1,0))&gt;0,'Working Capital'!BA19-'Working Capital'!AZ19,0)</f>
        <v/>
      </c>
      <c r="BB35" s="156">
        <f>BA35+'Cash Flow Statement'!BB43+'Cash Flow Statement'!BB46+IF((IF(AND(Assumptions!B51&lt;&gt;"",IFERROR(DATEVALUE(TEXT(Assumptions!B51,"MM/DD/YYYY")),0)&gt;=DATE(2031,1,1),IFERROR(DATEVALUE(TEXT(Assumptions!B51,"MM/DD/YYYY")),0)&lt;=DATE(2031,1,31)),1,0)+IF(AND(Assumptions!B52&lt;&gt;"",IFERROR(DATEVALUE(TEXT(Assumptions!B52,"MM/DD/YYYY")),0)&gt;=DATE(2031,1,1),IFERROR(DATEVALUE(TEXT(Assumptions!B52,"MM/DD/YYYY")),0)&lt;=DATE(2031,1,31)),1,0)+IF(AND(Assumptions!B53&lt;&gt;"",IFERROR(DATEVALUE(TEXT(Assumptions!B53,"MM/DD/YYYY")),0)&gt;=DATE(2031,1,1),IFERROR(DATEVALUE(TEXT(Assumptions!B53,"MM/DD/YYYY")),0)&lt;=DATE(2031,1,31)),1,0)+IF(AND(Assumptions!B54&lt;&gt;"",IFERROR(DATEVALUE(TEXT(Assumptions!B54,"MM/DD/YYYY")),0)&gt;=DATE(2031,1,1),IFERROR(DATEVALUE(TEXT(Assumptions!B54,"MM/DD/YYYY")),0)&lt;=DATE(2031,1,31)),1,0)+IF(AND(Assumptions!B55&lt;&gt;"",IFERROR(DATEVALUE(TEXT(Assumptions!B55,"MM/DD/YYYY")),0)&gt;=DATE(2031,1,1),IFERROR(DATEVALUE(TEXT(Assumptions!B55,"MM/DD/YYYY")),0)&lt;=DATE(2031,1,31)),1,0)+IF(AND(Assumptions!B56&lt;&gt;"",IFERROR(DATEVALUE(TEXT(Assumptions!B56,"MM/DD/YYYY")),0)&gt;=DATE(2031,1,1),IFERROR(DATEVALUE(TEXT(Assumptions!B56,"MM/DD/YYYY")),0)&lt;=DATE(2031,1,31)),1,0)+IF(AND(Assumptions!B57&lt;&gt;"",IFERROR(DATEVALUE(TEXT(Assumptions!B57,"MM/DD/YYYY")),0)&gt;=DATE(2031,1,1),IFERROR(DATEVALUE(TEXT(Assumptions!B57,"MM/DD/YYYY")),0)&lt;=DATE(2031,1,31)),1,0)+IF(AND(Assumptions!B58&lt;&gt;"",IFERROR(DATEVALUE(TEXT(Assumptions!B58,"MM/DD/YYYY")),0)&gt;=DATE(2031,1,1),IFERROR(DATEVALUE(TEXT(Assumptions!B58,"MM/DD/YYYY")),0)&lt;=DATE(2031,1,31)),1,0)+IF(AND(Assumptions!B59&lt;&gt;"",IFERROR(DATEVALUE(TEXT(Assumptions!B59,"MM/DD/YYYY")),0)&gt;=DATE(2031,1,1),IFERROR(DATEVALUE(TEXT(Assumptions!B59,"MM/DD/YYYY")),0)&lt;=DATE(2031,1,31)),1,0)+IF(AND(Assumptions!B60&lt;&gt;"",IFERROR(DATEVALUE(TEXT(Assumptions!B60,"MM/DD/YYYY")),0)&gt;=DATE(2031,1,1),IFERROR(DATEVALUE(TEXT(Assumptions!B60,"MM/DD/YYYY")),0)&lt;=DATE(2031,1,31)),1,0))&gt;0,'Working Capital'!BB19-'Working Capital'!BA19,0)</f>
        <v/>
      </c>
      <c r="BC35" s="156">
        <f>BB35+'Cash Flow Statement'!BC43+'Cash Flow Statement'!BC46+IF((IF(AND(Assumptions!B51&lt;&gt;"",IFERROR(DATEVALUE(TEXT(Assumptions!B51,"MM/DD/YYYY")),0)&gt;=DATE(2031,2,1),IFERROR(DATEVALUE(TEXT(Assumptions!B51,"MM/DD/YYYY")),0)&lt;=DATE(2031,2,28)),1,0)+IF(AND(Assumptions!B52&lt;&gt;"",IFERROR(DATEVALUE(TEXT(Assumptions!B52,"MM/DD/YYYY")),0)&gt;=DATE(2031,2,1),IFERROR(DATEVALUE(TEXT(Assumptions!B52,"MM/DD/YYYY")),0)&lt;=DATE(2031,2,28)),1,0)+IF(AND(Assumptions!B53&lt;&gt;"",IFERROR(DATEVALUE(TEXT(Assumptions!B53,"MM/DD/YYYY")),0)&gt;=DATE(2031,2,1),IFERROR(DATEVALUE(TEXT(Assumptions!B53,"MM/DD/YYYY")),0)&lt;=DATE(2031,2,28)),1,0)+IF(AND(Assumptions!B54&lt;&gt;"",IFERROR(DATEVALUE(TEXT(Assumptions!B54,"MM/DD/YYYY")),0)&gt;=DATE(2031,2,1),IFERROR(DATEVALUE(TEXT(Assumptions!B54,"MM/DD/YYYY")),0)&lt;=DATE(2031,2,28)),1,0)+IF(AND(Assumptions!B55&lt;&gt;"",IFERROR(DATEVALUE(TEXT(Assumptions!B55,"MM/DD/YYYY")),0)&gt;=DATE(2031,2,1),IFERROR(DATEVALUE(TEXT(Assumptions!B55,"MM/DD/YYYY")),0)&lt;=DATE(2031,2,28)),1,0)+IF(AND(Assumptions!B56&lt;&gt;"",IFERROR(DATEVALUE(TEXT(Assumptions!B56,"MM/DD/YYYY")),0)&gt;=DATE(2031,2,1),IFERROR(DATEVALUE(TEXT(Assumptions!B56,"MM/DD/YYYY")),0)&lt;=DATE(2031,2,28)),1,0)+IF(AND(Assumptions!B57&lt;&gt;"",IFERROR(DATEVALUE(TEXT(Assumptions!B57,"MM/DD/YYYY")),0)&gt;=DATE(2031,2,1),IFERROR(DATEVALUE(TEXT(Assumptions!B57,"MM/DD/YYYY")),0)&lt;=DATE(2031,2,28)),1,0)+IF(AND(Assumptions!B58&lt;&gt;"",IFERROR(DATEVALUE(TEXT(Assumptions!B58,"MM/DD/YYYY")),0)&gt;=DATE(2031,2,1),IFERROR(DATEVALUE(TEXT(Assumptions!B58,"MM/DD/YYYY")),0)&lt;=DATE(2031,2,28)),1,0)+IF(AND(Assumptions!B59&lt;&gt;"",IFERROR(DATEVALUE(TEXT(Assumptions!B59,"MM/DD/YYYY")),0)&gt;=DATE(2031,2,1),IFERROR(DATEVALUE(TEXT(Assumptions!B59,"MM/DD/YYYY")),0)&lt;=DATE(2031,2,28)),1,0)+IF(AND(Assumptions!B60&lt;&gt;"",IFERROR(DATEVALUE(TEXT(Assumptions!B60,"MM/DD/YYYY")),0)&gt;=DATE(2031,2,1),IFERROR(DATEVALUE(TEXT(Assumptions!B60,"MM/DD/YYYY")),0)&lt;=DATE(2031,2,28)),1,0))&gt;0,'Working Capital'!BC19-'Working Capital'!BB19,0)</f>
        <v/>
      </c>
      <c r="BD35" s="156">
        <f>BC35+'Cash Flow Statement'!BD43+'Cash Flow Statement'!BD46+IF((IF(AND(Assumptions!B51&lt;&gt;"",IFERROR(DATEVALUE(TEXT(Assumptions!B51,"MM/DD/YYYY")),0)&gt;=DATE(2031,3,1),IFERROR(DATEVALUE(TEXT(Assumptions!B51,"MM/DD/YYYY")),0)&lt;=DATE(2031,3,31)),1,0)+IF(AND(Assumptions!B52&lt;&gt;"",IFERROR(DATEVALUE(TEXT(Assumptions!B52,"MM/DD/YYYY")),0)&gt;=DATE(2031,3,1),IFERROR(DATEVALUE(TEXT(Assumptions!B52,"MM/DD/YYYY")),0)&lt;=DATE(2031,3,31)),1,0)+IF(AND(Assumptions!B53&lt;&gt;"",IFERROR(DATEVALUE(TEXT(Assumptions!B53,"MM/DD/YYYY")),0)&gt;=DATE(2031,3,1),IFERROR(DATEVALUE(TEXT(Assumptions!B53,"MM/DD/YYYY")),0)&lt;=DATE(2031,3,31)),1,0)+IF(AND(Assumptions!B54&lt;&gt;"",IFERROR(DATEVALUE(TEXT(Assumptions!B54,"MM/DD/YYYY")),0)&gt;=DATE(2031,3,1),IFERROR(DATEVALUE(TEXT(Assumptions!B54,"MM/DD/YYYY")),0)&lt;=DATE(2031,3,31)),1,0)+IF(AND(Assumptions!B55&lt;&gt;"",IFERROR(DATEVALUE(TEXT(Assumptions!B55,"MM/DD/YYYY")),0)&gt;=DATE(2031,3,1),IFERROR(DATEVALUE(TEXT(Assumptions!B55,"MM/DD/YYYY")),0)&lt;=DATE(2031,3,31)),1,0)+IF(AND(Assumptions!B56&lt;&gt;"",IFERROR(DATEVALUE(TEXT(Assumptions!B56,"MM/DD/YYYY")),0)&gt;=DATE(2031,3,1),IFERROR(DATEVALUE(TEXT(Assumptions!B56,"MM/DD/YYYY")),0)&lt;=DATE(2031,3,31)),1,0)+IF(AND(Assumptions!B57&lt;&gt;"",IFERROR(DATEVALUE(TEXT(Assumptions!B57,"MM/DD/YYYY")),0)&gt;=DATE(2031,3,1),IFERROR(DATEVALUE(TEXT(Assumptions!B57,"MM/DD/YYYY")),0)&lt;=DATE(2031,3,31)),1,0)+IF(AND(Assumptions!B58&lt;&gt;"",IFERROR(DATEVALUE(TEXT(Assumptions!B58,"MM/DD/YYYY")),0)&gt;=DATE(2031,3,1),IFERROR(DATEVALUE(TEXT(Assumptions!B58,"MM/DD/YYYY")),0)&lt;=DATE(2031,3,31)),1,0)+IF(AND(Assumptions!B59&lt;&gt;"",IFERROR(DATEVALUE(TEXT(Assumptions!B59,"MM/DD/YYYY")),0)&gt;=DATE(2031,3,1),IFERROR(DATEVALUE(TEXT(Assumptions!B59,"MM/DD/YYYY")),0)&lt;=DATE(2031,3,31)),1,0)+IF(AND(Assumptions!B60&lt;&gt;"",IFERROR(DATEVALUE(TEXT(Assumptions!B60,"MM/DD/YYYY")),0)&gt;=DATE(2031,3,1),IFERROR(DATEVALUE(TEXT(Assumptions!B60,"MM/DD/YYYY")),0)&lt;=DATE(2031,3,31)),1,0))&gt;0,'Working Capital'!BD19-'Working Capital'!BC19,0)</f>
        <v/>
      </c>
      <c r="BE35" s="156">
        <f>BD35+'Cash Flow Statement'!BE43+'Cash Flow Statement'!BE46+IF((IF(AND(Assumptions!B51&lt;&gt;"",IFERROR(DATEVALUE(TEXT(Assumptions!B51,"MM/DD/YYYY")),0)&gt;=DATE(2031,4,1),IFERROR(DATEVALUE(TEXT(Assumptions!B51,"MM/DD/YYYY")),0)&lt;=DATE(2031,4,30)),1,0)+IF(AND(Assumptions!B52&lt;&gt;"",IFERROR(DATEVALUE(TEXT(Assumptions!B52,"MM/DD/YYYY")),0)&gt;=DATE(2031,4,1),IFERROR(DATEVALUE(TEXT(Assumptions!B52,"MM/DD/YYYY")),0)&lt;=DATE(2031,4,30)),1,0)+IF(AND(Assumptions!B53&lt;&gt;"",IFERROR(DATEVALUE(TEXT(Assumptions!B53,"MM/DD/YYYY")),0)&gt;=DATE(2031,4,1),IFERROR(DATEVALUE(TEXT(Assumptions!B53,"MM/DD/YYYY")),0)&lt;=DATE(2031,4,30)),1,0)+IF(AND(Assumptions!B54&lt;&gt;"",IFERROR(DATEVALUE(TEXT(Assumptions!B54,"MM/DD/YYYY")),0)&gt;=DATE(2031,4,1),IFERROR(DATEVALUE(TEXT(Assumptions!B54,"MM/DD/YYYY")),0)&lt;=DATE(2031,4,30)),1,0)+IF(AND(Assumptions!B55&lt;&gt;"",IFERROR(DATEVALUE(TEXT(Assumptions!B55,"MM/DD/YYYY")),0)&gt;=DATE(2031,4,1),IFERROR(DATEVALUE(TEXT(Assumptions!B55,"MM/DD/YYYY")),0)&lt;=DATE(2031,4,30)),1,0)+IF(AND(Assumptions!B56&lt;&gt;"",IFERROR(DATEVALUE(TEXT(Assumptions!B56,"MM/DD/YYYY")),0)&gt;=DATE(2031,4,1),IFERROR(DATEVALUE(TEXT(Assumptions!B56,"MM/DD/YYYY")),0)&lt;=DATE(2031,4,30)),1,0)+IF(AND(Assumptions!B57&lt;&gt;"",IFERROR(DATEVALUE(TEXT(Assumptions!B57,"MM/DD/YYYY")),0)&gt;=DATE(2031,4,1),IFERROR(DATEVALUE(TEXT(Assumptions!B57,"MM/DD/YYYY")),0)&lt;=DATE(2031,4,30)),1,0)+IF(AND(Assumptions!B58&lt;&gt;"",IFERROR(DATEVALUE(TEXT(Assumptions!B58,"MM/DD/YYYY")),0)&gt;=DATE(2031,4,1),IFERROR(DATEVALUE(TEXT(Assumptions!B58,"MM/DD/YYYY")),0)&lt;=DATE(2031,4,30)),1,0)+IF(AND(Assumptions!B59&lt;&gt;"",IFERROR(DATEVALUE(TEXT(Assumptions!B59,"MM/DD/YYYY")),0)&gt;=DATE(2031,4,1),IFERROR(DATEVALUE(TEXT(Assumptions!B59,"MM/DD/YYYY")),0)&lt;=DATE(2031,4,30)),1,0)+IF(AND(Assumptions!B60&lt;&gt;"",IFERROR(DATEVALUE(TEXT(Assumptions!B60,"MM/DD/YYYY")),0)&gt;=DATE(2031,4,1),IFERROR(DATEVALUE(TEXT(Assumptions!B60,"MM/DD/YYYY")),0)&lt;=DATE(2031,4,30)),1,0))&gt;0,'Working Capital'!BE19-'Working Capital'!BD19,0)</f>
        <v/>
      </c>
      <c r="BF35" s="156">
        <f>BE35+'Cash Flow Statement'!BF43+'Cash Flow Statement'!BF46+IF((IF(AND(Assumptions!B51&lt;&gt;"",IFERROR(DATEVALUE(TEXT(Assumptions!B51,"MM/DD/YYYY")),0)&gt;=DATE(2031,5,1),IFERROR(DATEVALUE(TEXT(Assumptions!B51,"MM/DD/YYYY")),0)&lt;=DATE(2031,5,31)),1,0)+IF(AND(Assumptions!B52&lt;&gt;"",IFERROR(DATEVALUE(TEXT(Assumptions!B52,"MM/DD/YYYY")),0)&gt;=DATE(2031,5,1),IFERROR(DATEVALUE(TEXT(Assumptions!B52,"MM/DD/YYYY")),0)&lt;=DATE(2031,5,31)),1,0)+IF(AND(Assumptions!B53&lt;&gt;"",IFERROR(DATEVALUE(TEXT(Assumptions!B53,"MM/DD/YYYY")),0)&gt;=DATE(2031,5,1),IFERROR(DATEVALUE(TEXT(Assumptions!B53,"MM/DD/YYYY")),0)&lt;=DATE(2031,5,31)),1,0)+IF(AND(Assumptions!B54&lt;&gt;"",IFERROR(DATEVALUE(TEXT(Assumptions!B54,"MM/DD/YYYY")),0)&gt;=DATE(2031,5,1),IFERROR(DATEVALUE(TEXT(Assumptions!B54,"MM/DD/YYYY")),0)&lt;=DATE(2031,5,31)),1,0)+IF(AND(Assumptions!B55&lt;&gt;"",IFERROR(DATEVALUE(TEXT(Assumptions!B55,"MM/DD/YYYY")),0)&gt;=DATE(2031,5,1),IFERROR(DATEVALUE(TEXT(Assumptions!B55,"MM/DD/YYYY")),0)&lt;=DATE(2031,5,31)),1,0)+IF(AND(Assumptions!B56&lt;&gt;"",IFERROR(DATEVALUE(TEXT(Assumptions!B56,"MM/DD/YYYY")),0)&gt;=DATE(2031,5,1),IFERROR(DATEVALUE(TEXT(Assumptions!B56,"MM/DD/YYYY")),0)&lt;=DATE(2031,5,31)),1,0)+IF(AND(Assumptions!B57&lt;&gt;"",IFERROR(DATEVALUE(TEXT(Assumptions!B57,"MM/DD/YYYY")),0)&gt;=DATE(2031,5,1),IFERROR(DATEVALUE(TEXT(Assumptions!B57,"MM/DD/YYYY")),0)&lt;=DATE(2031,5,31)),1,0)+IF(AND(Assumptions!B58&lt;&gt;"",IFERROR(DATEVALUE(TEXT(Assumptions!B58,"MM/DD/YYYY")),0)&gt;=DATE(2031,5,1),IFERROR(DATEVALUE(TEXT(Assumptions!B58,"MM/DD/YYYY")),0)&lt;=DATE(2031,5,31)),1,0)+IF(AND(Assumptions!B59&lt;&gt;"",IFERROR(DATEVALUE(TEXT(Assumptions!B59,"MM/DD/YYYY")),0)&gt;=DATE(2031,5,1),IFERROR(DATEVALUE(TEXT(Assumptions!B59,"MM/DD/YYYY")),0)&lt;=DATE(2031,5,31)),1,0)+IF(AND(Assumptions!B60&lt;&gt;"",IFERROR(DATEVALUE(TEXT(Assumptions!B60,"MM/DD/YYYY")),0)&gt;=DATE(2031,5,1),IFERROR(DATEVALUE(TEXT(Assumptions!B60,"MM/DD/YYYY")),0)&lt;=DATE(2031,5,31)),1,0))&gt;0,'Working Capital'!BF19-'Working Capital'!BE19,0)</f>
        <v/>
      </c>
      <c r="BG35" s="156">
        <f>BF35+'Cash Flow Statement'!BG43+'Cash Flow Statement'!BG46+IF((IF(AND(Assumptions!B51&lt;&gt;"",IFERROR(DATEVALUE(TEXT(Assumptions!B51,"MM/DD/YYYY")),0)&gt;=DATE(2031,6,1),IFERROR(DATEVALUE(TEXT(Assumptions!B51,"MM/DD/YYYY")),0)&lt;=DATE(2031,6,30)),1,0)+IF(AND(Assumptions!B52&lt;&gt;"",IFERROR(DATEVALUE(TEXT(Assumptions!B52,"MM/DD/YYYY")),0)&gt;=DATE(2031,6,1),IFERROR(DATEVALUE(TEXT(Assumptions!B52,"MM/DD/YYYY")),0)&lt;=DATE(2031,6,30)),1,0)+IF(AND(Assumptions!B53&lt;&gt;"",IFERROR(DATEVALUE(TEXT(Assumptions!B53,"MM/DD/YYYY")),0)&gt;=DATE(2031,6,1),IFERROR(DATEVALUE(TEXT(Assumptions!B53,"MM/DD/YYYY")),0)&lt;=DATE(2031,6,30)),1,0)+IF(AND(Assumptions!B54&lt;&gt;"",IFERROR(DATEVALUE(TEXT(Assumptions!B54,"MM/DD/YYYY")),0)&gt;=DATE(2031,6,1),IFERROR(DATEVALUE(TEXT(Assumptions!B54,"MM/DD/YYYY")),0)&lt;=DATE(2031,6,30)),1,0)+IF(AND(Assumptions!B55&lt;&gt;"",IFERROR(DATEVALUE(TEXT(Assumptions!B55,"MM/DD/YYYY")),0)&gt;=DATE(2031,6,1),IFERROR(DATEVALUE(TEXT(Assumptions!B55,"MM/DD/YYYY")),0)&lt;=DATE(2031,6,30)),1,0)+IF(AND(Assumptions!B56&lt;&gt;"",IFERROR(DATEVALUE(TEXT(Assumptions!B56,"MM/DD/YYYY")),0)&gt;=DATE(2031,6,1),IFERROR(DATEVALUE(TEXT(Assumptions!B56,"MM/DD/YYYY")),0)&lt;=DATE(2031,6,30)),1,0)+IF(AND(Assumptions!B57&lt;&gt;"",IFERROR(DATEVALUE(TEXT(Assumptions!B57,"MM/DD/YYYY")),0)&gt;=DATE(2031,6,1),IFERROR(DATEVALUE(TEXT(Assumptions!B57,"MM/DD/YYYY")),0)&lt;=DATE(2031,6,30)),1,0)+IF(AND(Assumptions!B58&lt;&gt;"",IFERROR(DATEVALUE(TEXT(Assumptions!B58,"MM/DD/YYYY")),0)&gt;=DATE(2031,6,1),IFERROR(DATEVALUE(TEXT(Assumptions!B58,"MM/DD/YYYY")),0)&lt;=DATE(2031,6,30)),1,0)+IF(AND(Assumptions!B59&lt;&gt;"",IFERROR(DATEVALUE(TEXT(Assumptions!B59,"MM/DD/YYYY")),0)&gt;=DATE(2031,6,1),IFERROR(DATEVALUE(TEXT(Assumptions!B59,"MM/DD/YYYY")),0)&lt;=DATE(2031,6,30)),1,0)+IF(AND(Assumptions!B60&lt;&gt;"",IFERROR(DATEVALUE(TEXT(Assumptions!B60,"MM/DD/YYYY")),0)&gt;=DATE(2031,6,1),IFERROR(DATEVALUE(TEXT(Assumptions!B60,"MM/DD/YYYY")),0)&lt;=DATE(2031,6,30)),1,0))&gt;0,'Working Capital'!BG19-'Working Capital'!BF19,0)</f>
        <v/>
      </c>
      <c r="BH35" s="156">
        <f>BG35+'Cash Flow Statement'!BH43+'Cash Flow Statement'!BH46+IF((IF(AND(Assumptions!B51&lt;&gt;"",IFERROR(DATEVALUE(TEXT(Assumptions!B51,"MM/DD/YYYY")),0)&gt;=DATE(2031,7,1),IFERROR(DATEVALUE(TEXT(Assumptions!B51,"MM/DD/YYYY")),0)&lt;=DATE(2031,7,31)),1,0)+IF(AND(Assumptions!B52&lt;&gt;"",IFERROR(DATEVALUE(TEXT(Assumptions!B52,"MM/DD/YYYY")),0)&gt;=DATE(2031,7,1),IFERROR(DATEVALUE(TEXT(Assumptions!B52,"MM/DD/YYYY")),0)&lt;=DATE(2031,7,31)),1,0)+IF(AND(Assumptions!B53&lt;&gt;"",IFERROR(DATEVALUE(TEXT(Assumptions!B53,"MM/DD/YYYY")),0)&gt;=DATE(2031,7,1),IFERROR(DATEVALUE(TEXT(Assumptions!B53,"MM/DD/YYYY")),0)&lt;=DATE(2031,7,31)),1,0)+IF(AND(Assumptions!B54&lt;&gt;"",IFERROR(DATEVALUE(TEXT(Assumptions!B54,"MM/DD/YYYY")),0)&gt;=DATE(2031,7,1),IFERROR(DATEVALUE(TEXT(Assumptions!B54,"MM/DD/YYYY")),0)&lt;=DATE(2031,7,31)),1,0)+IF(AND(Assumptions!B55&lt;&gt;"",IFERROR(DATEVALUE(TEXT(Assumptions!B55,"MM/DD/YYYY")),0)&gt;=DATE(2031,7,1),IFERROR(DATEVALUE(TEXT(Assumptions!B55,"MM/DD/YYYY")),0)&lt;=DATE(2031,7,31)),1,0)+IF(AND(Assumptions!B56&lt;&gt;"",IFERROR(DATEVALUE(TEXT(Assumptions!B56,"MM/DD/YYYY")),0)&gt;=DATE(2031,7,1),IFERROR(DATEVALUE(TEXT(Assumptions!B56,"MM/DD/YYYY")),0)&lt;=DATE(2031,7,31)),1,0)+IF(AND(Assumptions!B57&lt;&gt;"",IFERROR(DATEVALUE(TEXT(Assumptions!B57,"MM/DD/YYYY")),0)&gt;=DATE(2031,7,1),IFERROR(DATEVALUE(TEXT(Assumptions!B57,"MM/DD/YYYY")),0)&lt;=DATE(2031,7,31)),1,0)+IF(AND(Assumptions!B58&lt;&gt;"",IFERROR(DATEVALUE(TEXT(Assumptions!B58,"MM/DD/YYYY")),0)&gt;=DATE(2031,7,1),IFERROR(DATEVALUE(TEXT(Assumptions!B58,"MM/DD/YYYY")),0)&lt;=DATE(2031,7,31)),1,0)+IF(AND(Assumptions!B59&lt;&gt;"",IFERROR(DATEVALUE(TEXT(Assumptions!B59,"MM/DD/YYYY")),0)&gt;=DATE(2031,7,1),IFERROR(DATEVALUE(TEXT(Assumptions!B59,"MM/DD/YYYY")),0)&lt;=DATE(2031,7,31)),1,0)+IF(AND(Assumptions!B60&lt;&gt;"",IFERROR(DATEVALUE(TEXT(Assumptions!B60,"MM/DD/YYYY")),0)&gt;=DATE(2031,7,1),IFERROR(DATEVALUE(TEXT(Assumptions!B60,"MM/DD/YYYY")),0)&lt;=DATE(2031,7,31)),1,0))&gt;0,'Working Capital'!BH19-'Working Capital'!BG19,0)</f>
        <v/>
      </c>
      <c r="BI35" s="156">
        <f>BH35+'Cash Flow Statement'!BI43+'Cash Flow Statement'!BI46+IF((IF(AND(Assumptions!B51&lt;&gt;"",IFERROR(DATEVALUE(TEXT(Assumptions!B51,"MM/DD/YYYY")),0)&gt;=DATE(2031,8,1),IFERROR(DATEVALUE(TEXT(Assumptions!B51,"MM/DD/YYYY")),0)&lt;=DATE(2031,8,31)),1,0)+IF(AND(Assumptions!B52&lt;&gt;"",IFERROR(DATEVALUE(TEXT(Assumptions!B52,"MM/DD/YYYY")),0)&gt;=DATE(2031,8,1),IFERROR(DATEVALUE(TEXT(Assumptions!B52,"MM/DD/YYYY")),0)&lt;=DATE(2031,8,31)),1,0)+IF(AND(Assumptions!B53&lt;&gt;"",IFERROR(DATEVALUE(TEXT(Assumptions!B53,"MM/DD/YYYY")),0)&gt;=DATE(2031,8,1),IFERROR(DATEVALUE(TEXT(Assumptions!B53,"MM/DD/YYYY")),0)&lt;=DATE(2031,8,31)),1,0)+IF(AND(Assumptions!B54&lt;&gt;"",IFERROR(DATEVALUE(TEXT(Assumptions!B54,"MM/DD/YYYY")),0)&gt;=DATE(2031,8,1),IFERROR(DATEVALUE(TEXT(Assumptions!B54,"MM/DD/YYYY")),0)&lt;=DATE(2031,8,31)),1,0)+IF(AND(Assumptions!B55&lt;&gt;"",IFERROR(DATEVALUE(TEXT(Assumptions!B55,"MM/DD/YYYY")),0)&gt;=DATE(2031,8,1),IFERROR(DATEVALUE(TEXT(Assumptions!B55,"MM/DD/YYYY")),0)&lt;=DATE(2031,8,31)),1,0)+IF(AND(Assumptions!B56&lt;&gt;"",IFERROR(DATEVALUE(TEXT(Assumptions!B56,"MM/DD/YYYY")),0)&gt;=DATE(2031,8,1),IFERROR(DATEVALUE(TEXT(Assumptions!B56,"MM/DD/YYYY")),0)&lt;=DATE(2031,8,31)),1,0)+IF(AND(Assumptions!B57&lt;&gt;"",IFERROR(DATEVALUE(TEXT(Assumptions!B57,"MM/DD/YYYY")),0)&gt;=DATE(2031,8,1),IFERROR(DATEVALUE(TEXT(Assumptions!B57,"MM/DD/YYYY")),0)&lt;=DATE(2031,8,31)),1,0)+IF(AND(Assumptions!B58&lt;&gt;"",IFERROR(DATEVALUE(TEXT(Assumptions!B58,"MM/DD/YYYY")),0)&gt;=DATE(2031,8,1),IFERROR(DATEVALUE(TEXT(Assumptions!B58,"MM/DD/YYYY")),0)&lt;=DATE(2031,8,31)),1,0)+IF(AND(Assumptions!B59&lt;&gt;"",IFERROR(DATEVALUE(TEXT(Assumptions!B59,"MM/DD/YYYY")),0)&gt;=DATE(2031,8,1),IFERROR(DATEVALUE(TEXT(Assumptions!B59,"MM/DD/YYYY")),0)&lt;=DATE(2031,8,31)),1,0)+IF(AND(Assumptions!B60&lt;&gt;"",IFERROR(DATEVALUE(TEXT(Assumptions!B60,"MM/DD/YYYY")),0)&gt;=DATE(2031,8,1),IFERROR(DATEVALUE(TEXT(Assumptions!B60,"MM/DD/YYYY")),0)&lt;=DATE(2031,8,31)),1,0))&gt;0,'Working Capital'!BI19-'Working Capital'!BH19,0)</f>
        <v/>
      </c>
      <c r="BJ35" s="156">
        <f>BI35+'Cash Flow Statement'!BJ43+'Cash Flow Statement'!BJ46+IF((IF(AND(Assumptions!B51&lt;&gt;"",IFERROR(DATEVALUE(TEXT(Assumptions!B51,"MM/DD/YYYY")),0)&gt;=DATE(2031,9,1),IFERROR(DATEVALUE(TEXT(Assumptions!B51,"MM/DD/YYYY")),0)&lt;=DATE(2031,9,30)),1,0)+IF(AND(Assumptions!B52&lt;&gt;"",IFERROR(DATEVALUE(TEXT(Assumptions!B52,"MM/DD/YYYY")),0)&gt;=DATE(2031,9,1),IFERROR(DATEVALUE(TEXT(Assumptions!B52,"MM/DD/YYYY")),0)&lt;=DATE(2031,9,30)),1,0)+IF(AND(Assumptions!B53&lt;&gt;"",IFERROR(DATEVALUE(TEXT(Assumptions!B53,"MM/DD/YYYY")),0)&gt;=DATE(2031,9,1),IFERROR(DATEVALUE(TEXT(Assumptions!B53,"MM/DD/YYYY")),0)&lt;=DATE(2031,9,30)),1,0)+IF(AND(Assumptions!B54&lt;&gt;"",IFERROR(DATEVALUE(TEXT(Assumptions!B54,"MM/DD/YYYY")),0)&gt;=DATE(2031,9,1),IFERROR(DATEVALUE(TEXT(Assumptions!B54,"MM/DD/YYYY")),0)&lt;=DATE(2031,9,30)),1,0)+IF(AND(Assumptions!B55&lt;&gt;"",IFERROR(DATEVALUE(TEXT(Assumptions!B55,"MM/DD/YYYY")),0)&gt;=DATE(2031,9,1),IFERROR(DATEVALUE(TEXT(Assumptions!B55,"MM/DD/YYYY")),0)&lt;=DATE(2031,9,30)),1,0)+IF(AND(Assumptions!B56&lt;&gt;"",IFERROR(DATEVALUE(TEXT(Assumptions!B56,"MM/DD/YYYY")),0)&gt;=DATE(2031,9,1),IFERROR(DATEVALUE(TEXT(Assumptions!B56,"MM/DD/YYYY")),0)&lt;=DATE(2031,9,30)),1,0)+IF(AND(Assumptions!B57&lt;&gt;"",IFERROR(DATEVALUE(TEXT(Assumptions!B57,"MM/DD/YYYY")),0)&gt;=DATE(2031,9,1),IFERROR(DATEVALUE(TEXT(Assumptions!B57,"MM/DD/YYYY")),0)&lt;=DATE(2031,9,30)),1,0)+IF(AND(Assumptions!B58&lt;&gt;"",IFERROR(DATEVALUE(TEXT(Assumptions!B58,"MM/DD/YYYY")),0)&gt;=DATE(2031,9,1),IFERROR(DATEVALUE(TEXT(Assumptions!B58,"MM/DD/YYYY")),0)&lt;=DATE(2031,9,30)),1,0)+IF(AND(Assumptions!B59&lt;&gt;"",IFERROR(DATEVALUE(TEXT(Assumptions!B59,"MM/DD/YYYY")),0)&gt;=DATE(2031,9,1),IFERROR(DATEVALUE(TEXT(Assumptions!B59,"MM/DD/YYYY")),0)&lt;=DATE(2031,9,30)),1,0)+IF(AND(Assumptions!B60&lt;&gt;"",IFERROR(DATEVALUE(TEXT(Assumptions!B60,"MM/DD/YYYY")),0)&gt;=DATE(2031,9,1),IFERROR(DATEVALUE(TEXT(Assumptions!B60,"MM/DD/YYYY")),0)&lt;=DATE(2031,9,30)),1,0))&gt;0,'Working Capital'!BJ19-'Working Capital'!BI19,0)</f>
        <v/>
      </c>
      <c r="BL35" s="157">
        <f>N35</f>
        <v/>
      </c>
      <c r="BM35" s="157">
        <f>Z35</f>
        <v/>
      </c>
      <c r="BN35" s="157">
        <f>AL35</f>
        <v/>
      </c>
      <c r="BO35" s="157">
        <f>AX35</f>
        <v/>
      </c>
      <c r="BP35" s="157">
        <f>BJ35</f>
        <v/>
      </c>
    </row>
    <row r="36" ht="15" customHeight="1" s="104">
      <c r="A36" s="107" t="inlineStr">
        <is>
          <t xml:space="preserve">    Retained Earnings / (Accumulated Deficit)</t>
        </is>
      </c>
      <c r="C36" s="156">
        <f>'Consolidated P&amp;L'!C36</f>
        <v/>
      </c>
      <c r="D36" s="156">
        <f>C36+'Consolidated P&amp;L'!D36</f>
        <v/>
      </c>
      <c r="E36" s="156">
        <f>D36+'Consolidated P&amp;L'!E36</f>
        <v/>
      </c>
      <c r="F36" s="156">
        <f>E36+'Consolidated P&amp;L'!F36</f>
        <v/>
      </c>
      <c r="G36" s="156">
        <f>F36+'Consolidated P&amp;L'!G36</f>
        <v/>
      </c>
      <c r="H36" s="156">
        <f>G36+'Consolidated P&amp;L'!H36</f>
        <v/>
      </c>
      <c r="I36" s="156">
        <f>H36+'Consolidated P&amp;L'!I36</f>
        <v/>
      </c>
      <c r="J36" s="156">
        <f>I36+'Consolidated P&amp;L'!J36</f>
        <v/>
      </c>
      <c r="K36" s="156">
        <f>J36+'Consolidated P&amp;L'!K36</f>
        <v/>
      </c>
      <c r="L36" s="156">
        <f>K36+'Consolidated P&amp;L'!L36</f>
        <v/>
      </c>
      <c r="M36" s="156">
        <f>L36+'Consolidated P&amp;L'!M36</f>
        <v/>
      </c>
      <c r="N36" s="156">
        <f>M36+'Consolidated P&amp;L'!N36</f>
        <v/>
      </c>
      <c r="O36" s="156">
        <f>N36+'Consolidated P&amp;L'!O36</f>
        <v/>
      </c>
      <c r="P36" s="156">
        <f>O36+'Consolidated P&amp;L'!P36</f>
        <v/>
      </c>
      <c r="Q36" s="156">
        <f>P36+'Consolidated P&amp;L'!Q36</f>
        <v/>
      </c>
      <c r="R36" s="156">
        <f>Q36+'Consolidated P&amp;L'!R36</f>
        <v/>
      </c>
      <c r="S36" s="156">
        <f>R36+'Consolidated P&amp;L'!S36</f>
        <v/>
      </c>
      <c r="T36" s="156">
        <f>S36+'Consolidated P&amp;L'!T36</f>
        <v/>
      </c>
      <c r="U36" s="156">
        <f>T36+'Consolidated P&amp;L'!U36</f>
        <v/>
      </c>
      <c r="V36" s="156">
        <f>U36+'Consolidated P&amp;L'!V36</f>
        <v/>
      </c>
      <c r="W36" s="156">
        <f>V36+'Consolidated P&amp;L'!W36</f>
        <v/>
      </c>
      <c r="X36" s="156">
        <f>W36+'Consolidated P&amp;L'!X36</f>
        <v/>
      </c>
      <c r="Y36" s="156">
        <f>X36+'Consolidated P&amp;L'!Y36</f>
        <v/>
      </c>
      <c r="Z36" s="156">
        <f>Y36+'Consolidated P&amp;L'!Z36</f>
        <v/>
      </c>
      <c r="AA36" s="156">
        <f>Z36+'Consolidated P&amp;L'!AA36</f>
        <v/>
      </c>
      <c r="AB36" s="156">
        <f>AA36+'Consolidated P&amp;L'!AB36</f>
        <v/>
      </c>
      <c r="AC36" s="156">
        <f>AB36+'Consolidated P&amp;L'!AC36</f>
        <v/>
      </c>
      <c r="AD36" s="156">
        <f>AC36+'Consolidated P&amp;L'!AD36</f>
        <v/>
      </c>
      <c r="AE36" s="156">
        <f>AD36+'Consolidated P&amp;L'!AE36</f>
        <v/>
      </c>
      <c r="AF36" s="156">
        <f>AE36+'Consolidated P&amp;L'!AF36</f>
        <v/>
      </c>
      <c r="AG36" s="156">
        <f>AF36+'Consolidated P&amp;L'!AG36</f>
        <v/>
      </c>
      <c r="AH36" s="156">
        <f>AG36+'Consolidated P&amp;L'!AH36</f>
        <v/>
      </c>
      <c r="AI36" s="156">
        <f>AH36+'Consolidated P&amp;L'!AI36</f>
        <v/>
      </c>
      <c r="AJ36" s="156">
        <f>AI36+'Consolidated P&amp;L'!AJ36</f>
        <v/>
      </c>
      <c r="AK36" s="156">
        <f>AJ36+'Consolidated P&amp;L'!AK36</f>
        <v/>
      </c>
      <c r="AL36" s="156">
        <f>AK36+'Consolidated P&amp;L'!AL36</f>
        <v/>
      </c>
      <c r="AM36" s="156">
        <f>AL36+'Consolidated P&amp;L'!AM36</f>
        <v/>
      </c>
      <c r="AN36" s="156">
        <f>AM36+'Consolidated P&amp;L'!AN36</f>
        <v/>
      </c>
      <c r="AO36" s="156">
        <f>AN36+'Consolidated P&amp;L'!AO36</f>
        <v/>
      </c>
      <c r="AP36" s="156">
        <f>AO36+'Consolidated P&amp;L'!AP36</f>
        <v/>
      </c>
      <c r="AQ36" s="156">
        <f>AP36+'Consolidated P&amp;L'!AQ36</f>
        <v/>
      </c>
      <c r="AR36" s="156">
        <f>AQ36+'Consolidated P&amp;L'!AR36</f>
        <v/>
      </c>
      <c r="AS36" s="156">
        <f>AR36+'Consolidated P&amp;L'!AS36</f>
        <v/>
      </c>
      <c r="AT36" s="156">
        <f>AS36+'Consolidated P&amp;L'!AT36</f>
        <v/>
      </c>
      <c r="AU36" s="156">
        <f>AT36+'Consolidated P&amp;L'!AU36</f>
        <v/>
      </c>
      <c r="AV36" s="156">
        <f>AU36+'Consolidated P&amp;L'!AV36</f>
        <v/>
      </c>
      <c r="AW36" s="156">
        <f>AV36+'Consolidated P&amp;L'!AW36</f>
        <v/>
      </c>
      <c r="AX36" s="156">
        <f>AW36+'Consolidated P&amp;L'!AX36</f>
        <v/>
      </c>
      <c r="AY36" s="156">
        <f>AX36+'Consolidated P&amp;L'!AY36</f>
        <v/>
      </c>
      <c r="AZ36" s="156">
        <f>AY36+'Consolidated P&amp;L'!AZ36</f>
        <v/>
      </c>
      <c r="BA36" s="156">
        <f>AZ36+'Consolidated P&amp;L'!BA36</f>
        <v/>
      </c>
      <c r="BB36" s="156">
        <f>BA36+'Consolidated P&amp;L'!BB36</f>
        <v/>
      </c>
      <c r="BC36" s="156">
        <f>BB36+'Consolidated P&amp;L'!BC36</f>
        <v/>
      </c>
      <c r="BD36" s="156">
        <f>BC36+'Consolidated P&amp;L'!BD36</f>
        <v/>
      </c>
      <c r="BE36" s="156">
        <f>BD36+'Consolidated P&amp;L'!BE36</f>
        <v/>
      </c>
      <c r="BF36" s="156">
        <f>BE36+'Consolidated P&amp;L'!BF36</f>
        <v/>
      </c>
      <c r="BG36" s="156">
        <f>BF36+'Consolidated P&amp;L'!BG36</f>
        <v/>
      </c>
      <c r="BH36" s="156">
        <f>BG36+'Consolidated P&amp;L'!BH36</f>
        <v/>
      </c>
      <c r="BI36" s="156">
        <f>BH36+'Consolidated P&amp;L'!BI36</f>
        <v/>
      </c>
      <c r="BJ36" s="156">
        <f>BI36+'Consolidated P&amp;L'!BJ36</f>
        <v/>
      </c>
      <c r="BL36" s="157">
        <f>N36</f>
        <v/>
      </c>
      <c r="BM36" s="157">
        <f>Z36</f>
        <v/>
      </c>
      <c r="BN36" s="157">
        <f>AL36</f>
        <v/>
      </c>
      <c r="BO36" s="157">
        <f>AX36</f>
        <v/>
      </c>
      <c r="BP36" s="157">
        <f>BJ36</f>
        <v/>
      </c>
    </row>
    <row r="37" ht="15" customHeight="1" s="104">
      <c r="A37" s="116" t="inlineStr">
        <is>
          <t>Total Shareholders' Equity</t>
        </is>
      </c>
      <c r="C37" s="152">
        <f>C35+C36</f>
        <v/>
      </c>
      <c r="D37" s="152">
        <f>D35+D36</f>
        <v/>
      </c>
      <c r="E37" s="152">
        <f>E35+E36</f>
        <v/>
      </c>
      <c r="F37" s="152">
        <f>F35+F36</f>
        <v/>
      </c>
      <c r="G37" s="152">
        <f>G35+G36</f>
        <v/>
      </c>
      <c r="H37" s="152">
        <f>H35+H36</f>
        <v/>
      </c>
      <c r="I37" s="152">
        <f>I35+I36</f>
        <v/>
      </c>
      <c r="J37" s="152">
        <f>J35+J36</f>
        <v/>
      </c>
      <c r="K37" s="152">
        <f>K35+K36</f>
        <v/>
      </c>
      <c r="L37" s="152">
        <f>L35+L36</f>
        <v/>
      </c>
      <c r="M37" s="152">
        <f>M35+M36</f>
        <v/>
      </c>
      <c r="N37" s="152">
        <f>N35+N36</f>
        <v/>
      </c>
      <c r="O37" s="152">
        <f>O35+O36</f>
        <v/>
      </c>
      <c r="P37" s="152">
        <f>P35+P36</f>
        <v/>
      </c>
      <c r="Q37" s="152">
        <f>Q35+Q36</f>
        <v/>
      </c>
      <c r="R37" s="152">
        <f>R35+R36</f>
        <v/>
      </c>
      <c r="S37" s="152">
        <f>S35+S36</f>
        <v/>
      </c>
      <c r="T37" s="152">
        <f>T35+T36</f>
        <v/>
      </c>
      <c r="U37" s="152">
        <f>U35+U36</f>
        <v/>
      </c>
      <c r="V37" s="152">
        <f>V35+V36</f>
        <v/>
      </c>
      <c r="W37" s="152">
        <f>W35+W36</f>
        <v/>
      </c>
      <c r="X37" s="152">
        <f>X35+X36</f>
        <v/>
      </c>
      <c r="Y37" s="152">
        <f>Y35+Y36</f>
        <v/>
      </c>
      <c r="Z37" s="152">
        <f>Z35+Z36</f>
        <v/>
      </c>
      <c r="AA37" s="152">
        <f>AA35+AA36</f>
        <v/>
      </c>
      <c r="AB37" s="152">
        <f>AB35+AB36</f>
        <v/>
      </c>
      <c r="AC37" s="152">
        <f>AC35+AC36</f>
        <v/>
      </c>
      <c r="AD37" s="152">
        <f>AD35+AD36</f>
        <v/>
      </c>
      <c r="AE37" s="152">
        <f>AE35+AE36</f>
        <v/>
      </c>
      <c r="AF37" s="152">
        <f>AF35+AF36</f>
        <v/>
      </c>
      <c r="AG37" s="152">
        <f>AG35+AG36</f>
        <v/>
      </c>
      <c r="AH37" s="152">
        <f>AH35+AH36</f>
        <v/>
      </c>
      <c r="AI37" s="152">
        <f>AI35+AI36</f>
        <v/>
      </c>
      <c r="AJ37" s="152">
        <f>AJ35+AJ36</f>
        <v/>
      </c>
      <c r="AK37" s="152">
        <f>AK35+AK36</f>
        <v/>
      </c>
      <c r="AL37" s="152">
        <f>AL35+AL36</f>
        <v/>
      </c>
      <c r="AM37" s="152">
        <f>AM35+AM36</f>
        <v/>
      </c>
      <c r="AN37" s="152">
        <f>AN35+AN36</f>
        <v/>
      </c>
      <c r="AO37" s="152">
        <f>AO35+AO36</f>
        <v/>
      </c>
      <c r="AP37" s="152">
        <f>AP35+AP36</f>
        <v/>
      </c>
      <c r="AQ37" s="152">
        <f>AQ35+AQ36</f>
        <v/>
      </c>
      <c r="AR37" s="152">
        <f>AR35+AR36</f>
        <v/>
      </c>
      <c r="AS37" s="152">
        <f>AS35+AS36</f>
        <v/>
      </c>
      <c r="AT37" s="152">
        <f>AT35+AT36</f>
        <v/>
      </c>
      <c r="AU37" s="152">
        <f>AU35+AU36</f>
        <v/>
      </c>
      <c r="AV37" s="152">
        <f>AV35+AV36</f>
        <v/>
      </c>
      <c r="AW37" s="152">
        <f>AW35+AW36</f>
        <v/>
      </c>
      <c r="AX37" s="152">
        <f>AX35+AX36</f>
        <v/>
      </c>
      <c r="AY37" s="152">
        <f>AY35+AY36</f>
        <v/>
      </c>
      <c r="AZ37" s="152">
        <f>AZ35+AZ36</f>
        <v/>
      </c>
      <c r="BA37" s="152">
        <f>BA35+BA36</f>
        <v/>
      </c>
      <c r="BB37" s="152">
        <f>BB35+BB36</f>
        <v/>
      </c>
      <c r="BC37" s="152">
        <f>BC35+BC36</f>
        <v/>
      </c>
      <c r="BD37" s="152">
        <f>BD35+BD36</f>
        <v/>
      </c>
      <c r="BE37" s="152">
        <f>BE35+BE36</f>
        <v/>
      </c>
      <c r="BF37" s="152">
        <f>BF35+BF36</f>
        <v/>
      </c>
      <c r="BG37" s="152">
        <f>BG35+BG36</f>
        <v/>
      </c>
      <c r="BH37" s="152">
        <f>BH35+BH36</f>
        <v/>
      </c>
      <c r="BI37" s="152">
        <f>BI35+BI36</f>
        <v/>
      </c>
      <c r="BJ37" s="152">
        <f>BJ35+BJ36</f>
        <v/>
      </c>
      <c r="BL37" s="152">
        <f>N35+N36</f>
        <v/>
      </c>
      <c r="BM37" s="152">
        <f>Z35+Z36</f>
        <v/>
      </c>
      <c r="BN37" s="152">
        <f>AL35+AL36</f>
        <v/>
      </c>
      <c r="BO37" s="152">
        <f>AX35+AX36</f>
        <v/>
      </c>
      <c r="BP37" s="152">
        <f>BJ35+BJ36</f>
        <v/>
      </c>
    </row>
    <row r="39" ht="15" customHeight="1" s="104">
      <c r="A39" s="175" t="inlineStr">
        <is>
          <t>TOTAL LIABILITIES &amp; EQUITY</t>
        </is>
      </c>
      <c r="C39" s="176">
        <f>C32+C37</f>
        <v/>
      </c>
      <c r="D39" s="176">
        <f>D32+D37</f>
        <v/>
      </c>
      <c r="E39" s="176">
        <f>E32+E37</f>
        <v/>
      </c>
      <c r="F39" s="176">
        <f>F32+F37</f>
        <v/>
      </c>
      <c r="G39" s="176">
        <f>G32+G37</f>
        <v/>
      </c>
      <c r="H39" s="176">
        <f>H32+H37</f>
        <v/>
      </c>
      <c r="I39" s="176">
        <f>I32+I37</f>
        <v/>
      </c>
      <c r="J39" s="176">
        <f>J32+J37</f>
        <v/>
      </c>
      <c r="K39" s="176">
        <f>K32+K37</f>
        <v/>
      </c>
      <c r="L39" s="176">
        <f>L32+L37</f>
        <v/>
      </c>
      <c r="M39" s="176">
        <f>M32+M37</f>
        <v/>
      </c>
      <c r="N39" s="176">
        <f>N32+N37</f>
        <v/>
      </c>
      <c r="O39" s="176">
        <f>O32+O37</f>
        <v/>
      </c>
      <c r="P39" s="176">
        <f>P32+P37</f>
        <v/>
      </c>
      <c r="Q39" s="176">
        <f>Q32+Q37</f>
        <v/>
      </c>
      <c r="R39" s="176">
        <f>R32+R37</f>
        <v/>
      </c>
      <c r="S39" s="176">
        <f>S32+S37</f>
        <v/>
      </c>
      <c r="T39" s="176">
        <f>T32+T37</f>
        <v/>
      </c>
      <c r="U39" s="176">
        <f>U32+U37</f>
        <v/>
      </c>
      <c r="V39" s="176">
        <f>V32+V37</f>
        <v/>
      </c>
      <c r="W39" s="176">
        <f>W32+W37</f>
        <v/>
      </c>
      <c r="X39" s="176">
        <f>X32+X37</f>
        <v/>
      </c>
      <c r="Y39" s="176">
        <f>Y32+Y37</f>
        <v/>
      </c>
      <c r="Z39" s="176">
        <f>Z32+Z37</f>
        <v/>
      </c>
      <c r="AA39" s="176">
        <f>AA32+AA37</f>
        <v/>
      </c>
      <c r="AB39" s="176">
        <f>AB32+AB37</f>
        <v/>
      </c>
      <c r="AC39" s="176">
        <f>AC32+AC37</f>
        <v/>
      </c>
      <c r="AD39" s="176">
        <f>AD32+AD37</f>
        <v/>
      </c>
      <c r="AE39" s="176">
        <f>AE32+AE37</f>
        <v/>
      </c>
      <c r="AF39" s="176">
        <f>AF32+AF37</f>
        <v/>
      </c>
      <c r="AG39" s="176">
        <f>AG32+AG37</f>
        <v/>
      </c>
      <c r="AH39" s="176">
        <f>AH32+AH37</f>
        <v/>
      </c>
      <c r="AI39" s="176">
        <f>AI32+AI37</f>
        <v/>
      </c>
      <c r="AJ39" s="176">
        <f>AJ32+AJ37</f>
        <v/>
      </c>
      <c r="AK39" s="176">
        <f>AK32+AK37</f>
        <v/>
      </c>
      <c r="AL39" s="176">
        <f>AL32+AL37</f>
        <v/>
      </c>
      <c r="AM39" s="176">
        <f>AM32+AM37</f>
        <v/>
      </c>
      <c r="AN39" s="176">
        <f>AN32+AN37</f>
        <v/>
      </c>
      <c r="AO39" s="176">
        <f>AO32+AO37</f>
        <v/>
      </c>
      <c r="AP39" s="176">
        <f>AP32+AP37</f>
        <v/>
      </c>
      <c r="AQ39" s="176">
        <f>AQ32+AQ37</f>
        <v/>
      </c>
      <c r="AR39" s="176">
        <f>AR32+AR37</f>
        <v/>
      </c>
      <c r="AS39" s="176">
        <f>AS32+AS37</f>
        <v/>
      </c>
      <c r="AT39" s="176">
        <f>AT32+AT37</f>
        <v/>
      </c>
      <c r="AU39" s="176">
        <f>AU32+AU37</f>
        <v/>
      </c>
      <c r="AV39" s="176">
        <f>AV32+AV37</f>
        <v/>
      </c>
      <c r="AW39" s="176">
        <f>AW32+AW37</f>
        <v/>
      </c>
      <c r="AX39" s="176">
        <f>AX32+AX37</f>
        <v/>
      </c>
      <c r="AY39" s="176">
        <f>AY32+AY37</f>
        <v/>
      </c>
      <c r="AZ39" s="176">
        <f>AZ32+AZ37</f>
        <v/>
      </c>
      <c r="BA39" s="176">
        <f>BA32+BA37</f>
        <v/>
      </c>
      <c r="BB39" s="176">
        <f>BB32+BB37</f>
        <v/>
      </c>
      <c r="BC39" s="176">
        <f>BC32+BC37</f>
        <v/>
      </c>
      <c r="BD39" s="176">
        <f>BD32+BD37</f>
        <v/>
      </c>
      <c r="BE39" s="176">
        <f>BE32+BE37</f>
        <v/>
      </c>
      <c r="BF39" s="176">
        <f>BF32+BF37</f>
        <v/>
      </c>
      <c r="BG39" s="176">
        <f>BG32+BG37</f>
        <v/>
      </c>
      <c r="BH39" s="176">
        <f>BH32+BH37</f>
        <v/>
      </c>
      <c r="BI39" s="176">
        <f>BI32+BI37</f>
        <v/>
      </c>
      <c r="BJ39" s="176">
        <f>BJ32+BJ37</f>
        <v/>
      </c>
      <c r="BL39" s="176">
        <f>N32+N37</f>
        <v/>
      </c>
      <c r="BM39" s="176">
        <f>Z32+Z37</f>
        <v/>
      </c>
      <c r="BN39" s="176">
        <f>AL32+AL37</f>
        <v/>
      </c>
      <c r="BO39" s="176">
        <f>AX32+AX37</f>
        <v/>
      </c>
      <c r="BP39" s="176">
        <f>BJ32+BJ37</f>
        <v/>
      </c>
    </row>
    <row r="41" ht="13.5" customHeight="1" s="104">
      <c r="A41" s="177" t="inlineStr">
        <is>
          <t>BALANCE CHECK</t>
        </is>
      </c>
      <c r="B41" s="178" t="n"/>
      <c r="C41" s="178" t="n"/>
      <c r="D41" s="178" t="n"/>
      <c r="E41" s="178" t="n"/>
      <c r="F41" s="178" t="n"/>
      <c r="G41" s="178" t="n"/>
      <c r="H41" s="178" t="n"/>
      <c r="I41" s="178" t="n"/>
      <c r="J41" s="178" t="n"/>
      <c r="K41" s="178" t="n"/>
      <c r="L41" s="178" t="n"/>
      <c r="M41" s="178" t="n"/>
      <c r="N41" s="178" t="n"/>
      <c r="O41" s="178" t="n"/>
      <c r="P41" s="178" t="n"/>
      <c r="Q41" s="178" t="n"/>
      <c r="R41" s="178" t="n"/>
      <c r="S41" s="178" t="n"/>
      <c r="T41" s="178" t="n"/>
      <c r="U41" s="178" t="n"/>
      <c r="V41" s="178" t="n"/>
      <c r="W41" s="178" t="n"/>
      <c r="X41" s="178" t="n"/>
      <c r="Y41" s="178" t="n"/>
      <c r="Z41" s="178" t="n"/>
      <c r="AA41" s="178" t="n"/>
      <c r="AB41" s="178" t="n"/>
      <c r="AC41" s="178" t="n"/>
      <c r="AD41" s="178" t="n"/>
      <c r="AE41" s="178" t="n"/>
      <c r="AF41" s="178" t="n"/>
      <c r="AG41" s="178" t="n"/>
      <c r="AH41" s="178" t="n"/>
      <c r="AI41" s="178" t="n"/>
      <c r="AJ41" s="178" t="n"/>
      <c r="AK41" s="178" t="n"/>
      <c r="AL41" s="178" t="n"/>
      <c r="AM41" s="178" t="n"/>
      <c r="AN41" s="178" t="n"/>
      <c r="AO41" s="178" t="n"/>
      <c r="AP41" s="178" t="n"/>
      <c r="AQ41" s="178" t="n"/>
      <c r="AR41" s="178" t="n"/>
      <c r="AS41" s="178" t="n"/>
      <c r="AT41" s="178" t="n"/>
      <c r="AU41" s="178" t="n"/>
      <c r="AV41" s="178" t="n"/>
      <c r="AW41" s="178" t="n"/>
      <c r="AX41" s="178" t="n"/>
      <c r="AY41" s="178" t="n"/>
      <c r="AZ41" s="178" t="n"/>
      <c r="BA41" s="178" t="n"/>
      <c r="BB41" s="178" t="n"/>
      <c r="BC41" s="178" t="n"/>
      <c r="BD41" s="178" t="n"/>
      <c r="BE41" s="178" t="n"/>
      <c r="BF41" s="178" t="n"/>
      <c r="BG41" s="178" t="n"/>
      <c r="BH41" s="178" t="n"/>
      <c r="BI41" s="178" t="n"/>
      <c r="BJ41" s="178" t="n"/>
      <c r="BK41" s="178" t="n"/>
      <c r="BL41" s="178" t="n"/>
      <c r="BM41" s="178" t="n"/>
      <c r="BN41" s="178" t="n"/>
      <c r="BO41" s="178" t="n"/>
      <c r="BP41" s="178" t="n"/>
    </row>
    <row r="42" ht="15" customHeight="1" s="104">
      <c r="A42" s="116" t="inlineStr">
        <is>
          <t xml:space="preserve">    Assets – (Liabilities + Equity)</t>
        </is>
      </c>
      <c r="C42" s="179">
        <f>C20-C39</f>
        <v/>
      </c>
      <c r="D42" s="179">
        <f>D20-D39</f>
        <v/>
      </c>
      <c r="E42" s="179">
        <f>E20-E39</f>
        <v/>
      </c>
      <c r="F42" s="179">
        <f>F20-F39</f>
        <v/>
      </c>
      <c r="G42" s="179">
        <f>G20-G39</f>
        <v/>
      </c>
      <c r="H42" s="179">
        <f>H20-H39</f>
        <v/>
      </c>
      <c r="I42" s="179">
        <f>I20-I39</f>
        <v/>
      </c>
      <c r="J42" s="179">
        <f>J20-J39</f>
        <v/>
      </c>
      <c r="K42" s="179">
        <f>K20-K39</f>
        <v/>
      </c>
      <c r="L42" s="179">
        <f>L20-L39</f>
        <v/>
      </c>
      <c r="M42" s="179">
        <f>M20-M39</f>
        <v/>
      </c>
      <c r="N42" s="179">
        <f>N20-N39</f>
        <v/>
      </c>
      <c r="O42" s="179">
        <f>O20-O39</f>
        <v/>
      </c>
      <c r="P42" s="179">
        <f>P20-P39</f>
        <v/>
      </c>
      <c r="Q42" s="179">
        <f>Q20-Q39</f>
        <v/>
      </c>
      <c r="R42" s="179">
        <f>R20-R39</f>
        <v/>
      </c>
      <c r="S42" s="179">
        <f>S20-S39</f>
        <v/>
      </c>
      <c r="T42" s="179">
        <f>T20-T39</f>
        <v/>
      </c>
      <c r="U42" s="179">
        <f>U20-U39</f>
        <v/>
      </c>
      <c r="V42" s="179">
        <f>V20-V39</f>
        <v/>
      </c>
      <c r="W42" s="179">
        <f>W20-W39</f>
        <v/>
      </c>
      <c r="X42" s="179">
        <f>X20-X39</f>
        <v/>
      </c>
      <c r="Y42" s="179">
        <f>Y20-Y39</f>
        <v/>
      </c>
      <c r="Z42" s="179">
        <f>Z20-Z39</f>
        <v/>
      </c>
      <c r="AA42" s="179">
        <f>AA20-AA39</f>
        <v/>
      </c>
      <c r="AB42" s="179">
        <f>AB20-AB39</f>
        <v/>
      </c>
      <c r="AC42" s="179">
        <f>AC20-AC39</f>
        <v/>
      </c>
      <c r="AD42" s="179">
        <f>AD20-AD39</f>
        <v/>
      </c>
      <c r="AE42" s="179">
        <f>AE20-AE39</f>
        <v/>
      </c>
      <c r="AF42" s="179">
        <f>AF20-AF39</f>
        <v/>
      </c>
      <c r="AG42" s="179">
        <f>AG20-AG39</f>
        <v/>
      </c>
      <c r="AH42" s="179">
        <f>AH20-AH39</f>
        <v/>
      </c>
      <c r="AI42" s="179">
        <f>AI20-AI39</f>
        <v/>
      </c>
      <c r="AJ42" s="179">
        <f>AJ20-AJ39</f>
        <v/>
      </c>
      <c r="AK42" s="179">
        <f>AK20-AK39</f>
        <v/>
      </c>
      <c r="AL42" s="179">
        <f>AL20-AL39</f>
        <v/>
      </c>
      <c r="AM42" s="179">
        <f>AM20-AM39</f>
        <v/>
      </c>
      <c r="AN42" s="179">
        <f>AN20-AN39</f>
        <v/>
      </c>
      <c r="AO42" s="179">
        <f>AO20-AO39</f>
        <v/>
      </c>
      <c r="AP42" s="179">
        <f>AP20-AP39</f>
        <v/>
      </c>
      <c r="AQ42" s="179">
        <f>AQ20-AQ39</f>
        <v/>
      </c>
      <c r="AR42" s="179">
        <f>AR20-AR39</f>
        <v/>
      </c>
      <c r="AS42" s="179">
        <f>AS20-AS39</f>
        <v/>
      </c>
      <c r="AT42" s="179">
        <f>AT20-AT39</f>
        <v/>
      </c>
      <c r="AU42" s="179">
        <f>AU20-AU39</f>
        <v/>
      </c>
      <c r="AV42" s="179">
        <f>AV20-AV39</f>
        <v/>
      </c>
      <c r="AW42" s="179">
        <f>AW20-AW39</f>
        <v/>
      </c>
      <c r="AX42" s="179">
        <f>AX20-AX39</f>
        <v/>
      </c>
      <c r="AY42" s="179">
        <f>AY20-AY39</f>
        <v/>
      </c>
      <c r="AZ42" s="179">
        <f>AZ20-AZ39</f>
        <v/>
      </c>
      <c r="BA42" s="179">
        <f>BA20-BA39</f>
        <v/>
      </c>
      <c r="BB42" s="179">
        <f>BB20-BB39</f>
        <v/>
      </c>
      <c r="BC42" s="179">
        <f>BC20-BC39</f>
        <v/>
      </c>
      <c r="BD42" s="179">
        <f>BD20-BD39</f>
        <v/>
      </c>
      <c r="BE42" s="179">
        <f>BE20-BE39</f>
        <v/>
      </c>
      <c r="BF42" s="179">
        <f>BF20-BF39</f>
        <v/>
      </c>
      <c r="BG42" s="179">
        <f>BG20-BG39</f>
        <v/>
      </c>
      <c r="BH42" s="179">
        <f>BH20-BH39</f>
        <v/>
      </c>
      <c r="BI42" s="179">
        <f>BI20-BI39</f>
        <v/>
      </c>
      <c r="BJ42" s="179">
        <f>BJ20-BJ39</f>
        <v/>
      </c>
      <c r="BL42" s="180">
        <f>N20-N39</f>
        <v/>
      </c>
      <c r="BM42" s="180">
        <f>Z20-Z39</f>
        <v/>
      </c>
      <c r="BN42" s="180">
        <f>AL20-AL39</f>
        <v/>
      </c>
      <c r="BO42" s="180">
        <f>AX20-AX39</f>
        <v/>
      </c>
      <c r="BP42" s="180">
        <f>BJ20-BJ39</f>
        <v/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tabColor rgb="FF375623"/>
    <outlinePr summaryBelow="1" summaryRight="1"/>
    <pageSetUpPr fitToPage="0"/>
  </sheetPr>
  <dimension ref="A1:BP53"/>
  <sheetViews>
    <sheetView showFormulas="0" showGridLines="1" showRowColHeaders="1" showZeros="1" rightToLeft="0" tabSelected="0" showOutlineSymbols="1" defaultGridColor="1" view="normal" topLeftCell="A1" colorId="64" zoomScale="80" zoomScaleNormal="8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E8" activeCellId="0" sqref="E8"/>
    </sheetView>
  </sheetViews>
  <sheetFormatPr baseColWidth="8" defaultColWidth="8.71484375" defaultRowHeight="15" zeroHeight="0" outlineLevelRow="0"/>
  <cols>
    <col width="40" customWidth="1" style="103" min="1" max="1"/>
    <col width="9" customWidth="1" style="103" min="3" max="62"/>
    <col width="11" customWidth="1" style="103" min="64" max="68"/>
  </cols>
  <sheetData>
    <row r="1" ht="19.5" customHeight="1" s="104">
      <c r="A1" s="105" t="inlineStr">
        <is>
          <t>Consolidated Cash Flow Statement – Indirect Method ($mm)</t>
        </is>
      </c>
    </row>
    <row r="3" ht="15" customHeight="1" s="104">
      <c r="A3" s="116" t="inlineStr">
        <is>
          <t>($mm)</t>
        </is>
      </c>
      <c r="C3" s="115" t="inlineStr">
        <is>
          <t>Oct-26</t>
        </is>
      </c>
      <c r="D3" s="115" t="inlineStr">
        <is>
          <t>Nov-26</t>
        </is>
      </c>
      <c r="E3" s="115" t="inlineStr">
        <is>
          <t>Dec-26</t>
        </is>
      </c>
      <c r="F3" s="115" t="inlineStr">
        <is>
          <t>Jan-27</t>
        </is>
      </c>
      <c r="G3" s="115" t="inlineStr">
        <is>
          <t>Feb-27</t>
        </is>
      </c>
      <c r="H3" s="115" t="inlineStr">
        <is>
          <t>Mar-27</t>
        </is>
      </c>
      <c r="I3" s="115" t="inlineStr">
        <is>
          <t>Apr-27</t>
        </is>
      </c>
      <c r="J3" s="115" t="inlineStr">
        <is>
          <t>May-27</t>
        </is>
      </c>
      <c r="K3" s="115" t="inlineStr">
        <is>
          <t>Jun-27</t>
        </is>
      </c>
      <c r="L3" s="115" t="inlineStr">
        <is>
          <t>Jul-27</t>
        </is>
      </c>
      <c r="M3" s="115" t="inlineStr">
        <is>
          <t>Aug-27</t>
        </is>
      </c>
      <c r="N3" s="115" t="inlineStr">
        <is>
          <t>Sep-27</t>
        </is>
      </c>
      <c r="O3" s="115" t="inlineStr">
        <is>
          <t>Oct-27</t>
        </is>
      </c>
      <c r="P3" s="115" t="inlineStr">
        <is>
          <t>Nov-27</t>
        </is>
      </c>
      <c r="Q3" s="115" t="inlineStr">
        <is>
          <t>Dec-27</t>
        </is>
      </c>
      <c r="R3" s="115" t="inlineStr">
        <is>
          <t>Jan-28</t>
        </is>
      </c>
      <c r="S3" s="115" t="inlineStr">
        <is>
          <t>Feb-28</t>
        </is>
      </c>
      <c r="T3" s="115" t="inlineStr">
        <is>
          <t>Mar-28</t>
        </is>
      </c>
      <c r="U3" s="115" t="inlineStr">
        <is>
          <t>Apr-28</t>
        </is>
      </c>
      <c r="V3" s="115" t="inlineStr">
        <is>
          <t>May-28</t>
        </is>
      </c>
      <c r="W3" s="115" t="inlineStr">
        <is>
          <t>Jun-28</t>
        </is>
      </c>
      <c r="X3" s="115" t="inlineStr">
        <is>
          <t>Jul-28</t>
        </is>
      </c>
      <c r="Y3" s="115" t="inlineStr">
        <is>
          <t>Aug-28</t>
        </is>
      </c>
      <c r="Z3" s="115" t="inlineStr">
        <is>
          <t>Sep-28</t>
        </is>
      </c>
      <c r="AA3" s="115" t="inlineStr">
        <is>
          <t>Oct-28</t>
        </is>
      </c>
      <c r="AB3" s="115" t="inlineStr">
        <is>
          <t>Nov-28</t>
        </is>
      </c>
      <c r="AC3" s="115" t="inlineStr">
        <is>
          <t>Dec-28</t>
        </is>
      </c>
      <c r="AD3" s="115" t="inlineStr">
        <is>
          <t>Jan-29</t>
        </is>
      </c>
      <c r="AE3" s="115" t="inlineStr">
        <is>
          <t>Feb-29</t>
        </is>
      </c>
      <c r="AF3" s="115" t="inlineStr">
        <is>
          <t>Mar-29</t>
        </is>
      </c>
      <c r="AG3" s="115" t="inlineStr">
        <is>
          <t>Apr-29</t>
        </is>
      </c>
      <c r="AH3" s="115" t="inlineStr">
        <is>
          <t>May-29</t>
        </is>
      </c>
      <c r="AI3" s="115" t="inlineStr">
        <is>
          <t>Jun-29</t>
        </is>
      </c>
      <c r="AJ3" s="115" t="inlineStr">
        <is>
          <t>Jul-29</t>
        </is>
      </c>
      <c r="AK3" s="115" t="inlineStr">
        <is>
          <t>Aug-29</t>
        </is>
      </c>
      <c r="AL3" s="115" t="inlineStr">
        <is>
          <t>Sep-29</t>
        </is>
      </c>
      <c r="AM3" s="115" t="inlineStr">
        <is>
          <t>Oct-29</t>
        </is>
      </c>
      <c r="AN3" s="115" t="inlineStr">
        <is>
          <t>Nov-29</t>
        </is>
      </c>
      <c r="AO3" s="115" t="inlineStr">
        <is>
          <t>Dec-29</t>
        </is>
      </c>
      <c r="AP3" s="115" t="inlineStr">
        <is>
          <t>Jan-30</t>
        </is>
      </c>
      <c r="AQ3" s="115" t="inlineStr">
        <is>
          <t>Feb-30</t>
        </is>
      </c>
      <c r="AR3" s="115" t="inlineStr">
        <is>
          <t>Mar-30</t>
        </is>
      </c>
      <c r="AS3" s="115" t="inlineStr">
        <is>
          <t>Apr-30</t>
        </is>
      </c>
      <c r="AT3" s="115" t="inlineStr">
        <is>
          <t>May-30</t>
        </is>
      </c>
      <c r="AU3" s="115" t="inlineStr">
        <is>
          <t>Jun-30</t>
        </is>
      </c>
      <c r="AV3" s="115" t="inlineStr">
        <is>
          <t>Jul-30</t>
        </is>
      </c>
      <c r="AW3" s="115" t="inlineStr">
        <is>
          <t>Aug-30</t>
        </is>
      </c>
      <c r="AX3" s="115" t="inlineStr">
        <is>
          <t>Sep-30</t>
        </is>
      </c>
      <c r="AY3" s="115" t="inlineStr">
        <is>
          <t>Oct-30</t>
        </is>
      </c>
      <c r="AZ3" s="115" t="inlineStr">
        <is>
          <t>Nov-30</t>
        </is>
      </c>
      <c r="BA3" s="115" t="inlineStr">
        <is>
          <t>Dec-30</t>
        </is>
      </c>
      <c r="BB3" s="115" t="inlineStr">
        <is>
          <t>Jan-31</t>
        </is>
      </c>
      <c r="BC3" s="115" t="inlineStr">
        <is>
          <t>Feb-31</t>
        </is>
      </c>
      <c r="BD3" s="115" t="inlineStr">
        <is>
          <t>Mar-31</t>
        </is>
      </c>
      <c r="BE3" s="115" t="inlineStr">
        <is>
          <t>Apr-31</t>
        </is>
      </c>
      <c r="BF3" s="115" t="inlineStr">
        <is>
          <t>May-31</t>
        </is>
      </c>
      <c r="BG3" s="115" t="inlineStr">
        <is>
          <t>Jun-31</t>
        </is>
      </c>
      <c r="BH3" s="115" t="inlineStr">
        <is>
          <t>Jul-31</t>
        </is>
      </c>
      <c r="BI3" s="115" t="inlineStr">
        <is>
          <t>Aug-31</t>
        </is>
      </c>
      <c r="BJ3" s="115" t="inlineStr">
        <is>
          <t>Sep-31</t>
        </is>
      </c>
      <c r="BL3" s="181" t="inlineStr">
        <is>
          <t>FY1</t>
        </is>
      </c>
      <c r="BM3" s="181" t="inlineStr">
        <is>
          <t>FY2</t>
        </is>
      </c>
      <c r="BN3" s="181" t="inlineStr">
        <is>
          <t>FY3</t>
        </is>
      </c>
      <c r="BO3" s="181" t="inlineStr">
        <is>
          <t>FY4</t>
        </is>
      </c>
      <c r="BP3" s="181" t="inlineStr">
        <is>
          <t>FY5</t>
        </is>
      </c>
    </row>
    <row r="5" ht="15" customHeight="1" s="104">
      <c r="A5" s="106" t="inlineStr">
        <is>
          <t>OPERATING ACTIVITIES</t>
        </is>
      </c>
    </row>
    <row r="6" ht="15" customHeight="1" s="104">
      <c r="A6" s="107" t="inlineStr">
        <is>
          <t xml:space="preserve">  Net Income</t>
        </is>
      </c>
      <c r="C6" s="156">
        <f>'Consolidated P&amp;L'!C36</f>
        <v/>
      </c>
      <c r="D6" s="156">
        <f>'Consolidated P&amp;L'!D36</f>
        <v/>
      </c>
      <c r="E6" s="156">
        <f>'Consolidated P&amp;L'!E36</f>
        <v/>
      </c>
      <c r="F6" s="156">
        <f>'Consolidated P&amp;L'!F36</f>
        <v/>
      </c>
      <c r="G6" s="156">
        <f>'Consolidated P&amp;L'!G36</f>
        <v/>
      </c>
      <c r="H6" s="156">
        <f>'Consolidated P&amp;L'!H36</f>
        <v/>
      </c>
      <c r="I6" s="156">
        <f>'Consolidated P&amp;L'!I36</f>
        <v/>
      </c>
      <c r="J6" s="156">
        <f>'Consolidated P&amp;L'!J36</f>
        <v/>
      </c>
      <c r="K6" s="156">
        <f>'Consolidated P&amp;L'!K36</f>
        <v/>
      </c>
      <c r="L6" s="156">
        <f>'Consolidated P&amp;L'!L36</f>
        <v/>
      </c>
      <c r="M6" s="156">
        <f>'Consolidated P&amp;L'!M36</f>
        <v/>
      </c>
      <c r="N6" s="156">
        <f>'Consolidated P&amp;L'!N36</f>
        <v/>
      </c>
      <c r="O6" s="156">
        <f>'Consolidated P&amp;L'!O36</f>
        <v/>
      </c>
      <c r="P6" s="156">
        <f>'Consolidated P&amp;L'!P36</f>
        <v/>
      </c>
      <c r="Q6" s="156">
        <f>'Consolidated P&amp;L'!Q36</f>
        <v/>
      </c>
      <c r="R6" s="156">
        <f>'Consolidated P&amp;L'!R36</f>
        <v/>
      </c>
      <c r="S6" s="156">
        <f>'Consolidated P&amp;L'!S36</f>
        <v/>
      </c>
      <c r="T6" s="156">
        <f>'Consolidated P&amp;L'!T36</f>
        <v/>
      </c>
      <c r="U6" s="156">
        <f>'Consolidated P&amp;L'!U36</f>
        <v/>
      </c>
      <c r="V6" s="156">
        <f>'Consolidated P&amp;L'!V36</f>
        <v/>
      </c>
      <c r="W6" s="156">
        <f>'Consolidated P&amp;L'!W36</f>
        <v/>
      </c>
      <c r="X6" s="156">
        <f>'Consolidated P&amp;L'!X36</f>
        <v/>
      </c>
      <c r="Y6" s="156">
        <f>'Consolidated P&amp;L'!Y36</f>
        <v/>
      </c>
      <c r="Z6" s="156">
        <f>'Consolidated P&amp;L'!Z36</f>
        <v/>
      </c>
      <c r="AA6" s="156">
        <f>'Consolidated P&amp;L'!AA36</f>
        <v/>
      </c>
      <c r="AB6" s="156">
        <f>'Consolidated P&amp;L'!AB36</f>
        <v/>
      </c>
      <c r="AC6" s="156">
        <f>'Consolidated P&amp;L'!AC36</f>
        <v/>
      </c>
      <c r="AD6" s="156">
        <f>'Consolidated P&amp;L'!AD36</f>
        <v/>
      </c>
      <c r="AE6" s="156">
        <f>'Consolidated P&amp;L'!AE36</f>
        <v/>
      </c>
      <c r="AF6" s="156">
        <f>'Consolidated P&amp;L'!AF36</f>
        <v/>
      </c>
      <c r="AG6" s="156">
        <f>'Consolidated P&amp;L'!AG36</f>
        <v/>
      </c>
      <c r="AH6" s="156">
        <f>'Consolidated P&amp;L'!AH36</f>
        <v/>
      </c>
      <c r="AI6" s="156">
        <f>'Consolidated P&amp;L'!AI36</f>
        <v/>
      </c>
      <c r="AJ6" s="156">
        <f>'Consolidated P&amp;L'!AJ36</f>
        <v/>
      </c>
      <c r="AK6" s="156">
        <f>'Consolidated P&amp;L'!AK36</f>
        <v/>
      </c>
      <c r="AL6" s="156">
        <f>'Consolidated P&amp;L'!AL36</f>
        <v/>
      </c>
      <c r="AM6" s="156">
        <f>'Consolidated P&amp;L'!AM36</f>
        <v/>
      </c>
      <c r="AN6" s="156">
        <f>'Consolidated P&amp;L'!AN36</f>
        <v/>
      </c>
      <c r="AO6" s="156">
        <f>'Consolidated P&amp;L'!AO36</f>
        <v/>
      </c>
      <c r="AP6" s="156">
        <f>'Consolidated P&amp;L'!AP36</f>
        <v/>
      </c>
      <c r="AQ6" s="156">
        <f>'Consolidated P&amp;L'!AQ36</f>
        <v/>
      </c>
      <c r="AR6" s="156">
        <f>'Consolidated P&amp;L'!AR36</f>
        <v/>
      </c>
      <c r="AS6" s="156">
        <f>'Consolidated P&amp;L'!AS36</f>
        <v/>
      </c>
      <c r="AT6" s="156">
        <f>'Consolidated P&amp;L'!AT36</f>
        <v/>
      </c>
      <c r="AU6" s="156">
        <f>'Consolidated P&amp;L'!AU36</f>
        <v/>
      </c>
      <c r="AV6" s="156">
        <f>'Consolidated P&amp;L'!AV36</f>
        <v/>
      </c>
      <c r="AW6" s="156">
        <f>'Consolidated P&amp;L'!AW36</f>
        <v/>
      </c>
      <c r="AX6" s="156">
        <f>'Consolidated P&amp;L'!AX36</f>
        <v/>
      </c>
      <c r="AY6" s="156">
        <f>'Consolidated P&amp;L'!AY36</f>
        <v/>
      </c>
      <c r="AZ6" s="156">
        <f>'Consolidated P&amp;L'!AZ36</f>
        <v/>
      </c>
      <c r="BA6" s="156">
        <f>'Consolidated P&amp;L'!BA36</f>
        <v/>
      </c>
      <c r="BB6" s="156">
        <f>'Consolidated P&amp;L'!BB36</f>
        <v/>
      </c>
      <c r="BC6" s="156">
        <f>'Consolidated P&amp;L'!BC36</f>
        <v/>
      </c>
      <c r="BD6" s="156">
        <f>'Consolidated P&amp;L'!BD36</f>
        <v/>
      </c>
      <c r="BE6" s="156">
        <f>'Consolidated P&amp;L'!BE36</f>
        <v/>
      </c>
      <c r="BF6" s="156">
        <f>'Consolidated P&amp;L'!BF36</f>
        <v/>
      </c>
      <c r="BG6" s="156">
        <f>'Consolidated P&amp;L'!BG36</f>
        <v/>
      </c>
      <c r="BH6" s="156">
        <f>'Consolidated P&amp;L'!BH36</f>
        <v/>
      </c>
      <c r="BI6" s="156">
        <f>'Consolidated P&amp;L'!BI36</f>
        <v/>
      </c>
      <c r="BJ6" s="156">
        <f>'Consolidated P&amp;L'!BJ36</f>
        <v/>
      </c>
      <c r="BL6" s="157">
        <f>C6+D6+E6+F6+G6+H6+I6+J6+K6+L6+M6+N6</f>
        <v/>
      </c>
      <c r="BM6" s="157">
        <f>O6+P6+Q6+R6+S6+T6+U6+V6+W6+X6+Y6+Z6</f>
        <v/>
      </c>
      <c r="BN6" s="157">
        <f>AA6+AB6+AC6+AD6+AE6+AF6+AG6+AH6+AI6+AJ6+AK6+AL6</f>
        <v/>
      </c>
      <c r="BO6" s="157">
        <f>AM6+AN6+AO6+AP6+AQ6+AR6+AS6+AT6+AU6+AV6+AW6+AX6</f>
        <v/>
      </c>
      <c r="BP6" s="157">
        <f>AY6+AZ6+BA6+BB6+BC6+BD6+BE6+BF6+BG6+BH6+BI6+BJ6</f>
        <v/>
      </c>
    </row>
    <row r="7" ht="15" customHeight="1" s="104">
      <c r="A7" s="107" t="inlineStr">
        <is>
          <t xml:space="preserve">    Add: PP&amp;E Depreciation &amp; Amortization</t>
        </is>
      </c>
      <c r="C7" s="156">
        <f>'Amortization Table'!C50</f>
        <v/>
      </c>
      <c r="D7" s="156">
        <f>'Amortization Table'!D50</f>
        <v/>
      </c>
      <c r="E7" s="156">
        <f>'Amortization Table'!E50</f>
        <v/>
      </c>
      <c r="F7" s="156">
        <f>'Amortization Table'!F50</f>
        <v/>
      </c>
      <c r="G7" s="156">
        <f>'Amortization Table'!G50</f>
        <v/>
      </c>
      <c r="H7" s="156">
        <f>'Amortization Table'!H50</f>
        <v/>
      </c>
      <c r="I7" s="156">
        <f>'Amortization Table'!I50</f>
        <v/>
      </c>
      <c r="J7" s="156">
        <f>'Amortization Table'!J50</f>
        <v/>
      </c>
      <c r="K7" s="156">
        <f>'Amortization Table'!K50</f>
        <v/>
      </c>
      <c r="L7" s="156">
        <f>'Amortization Table'!L50</f>
        <v/>
      </c>
      <c r="M7" s="156">
        <f>'Amortization Table'!M50</f>
        <v/>
      </c>
      <c r="N7" s="156">
        <f>'Amortization Table'!N50</f>
        <v/>
      </c>
      <c r="O7" s="156">
        <f>'Amortization Table'!O50</f>
        <v/>
      </c>
      <c r="P7" s="156">
        <f>'Amortization Table'!P50</f>
        <v/>
      </c>
      <c r="Q7" s="156">
        <f>'Amortization Table'!Q50</f>
        <v/>
      </c>
      <c r="R7" s="156">
        <f>'Amortization Table'!R50</f>
        <v/>
      </c>
      <c r="S7" s="156">
        <f>'Amortization Table'!S50</f>
        <v/>
      </c>
      <c r="T7" s="156">
        <f>'Amortization Table'!T50</f>
        <v/>
      </c>
      <c r="U7" s="156">
        <f>'Amortization Table'!U50</f>
        <v/>
      </c>
      <c r="V7" s="156">
        <f>'Amortization Table'!V50</f>
        <v/>
      </c>
      <c r="W7" s="156">
        <f>'Amortization Table'!W50</f>
        <v/>
      </c>
      <c r="X7" s="156">
        <f>'Amortization Table'!X50</f>
        <v/>
      </c>
      <c r="Y7" s="156">
        <f>'Amortization Table'!Y50</f>
        <v/>
      </c>
      <c r="Z7" s="156">
        <f>'Amortization Table'!Z50</f>
        <v/>
      </c>
      <c r="AA7" s="156">
        <f>'Amortization Table'!AA50</f>
        <v/>
      </c>
      <c r="AB7" s="156">
        <f>'Amortization Table'!AB50</f>
        <v/>
      </c>
      <c r="AC7" s="156">
        <f>'Amortization Table'!AC50</f>
        <v/>
      </c>
      <c r="AD7" s="156">
        <f>'Amortization Table'!AD50</f>
        <v/>
      </c>
      <c r="AE7" s="156">
        <f>'Amortization Table'!AE50</f>
        <v/>
      </c>
      <c r="AF7" s="156">
        <f>'Amortization Table'!AF50</f>
        <v/>
      </c>
      <c r="AG7" s="156">
        <f>'Amortization Table'!AG50</f>
        <v/>
      </c>
      <c r="AH7" s="156">
        <f>'Amortization Table'!AH50</f>
        <v/>
      </c>
      <c r="AI7" s="156">
        <f>'Amortization Table'!AI50</f>
        <v/>
      </c>
      <c r="AJ7" s="156">
        <f>'Amortization Table'!AJ50</f>
        <v/>
      </c>
      <c r="AK7" s="156">
        <f>'Amortization Table'!AK50</f>
        <v/>
      </c>
      <c r="AL7" s="156">
        <f>'Amortization Table'!AL50</f>
        <v/>
      </c>
      <c r="AM7" s="156">
        <f>'Amortization Table'!AM50</f>
        <v/>
      </c>
      <c r="AN7" s="156">
        <f>'Amortization Table'!AN50</f>
        <v/>
      </c>
      <c r="AO7" s="156">
        <f>'Amortization Table'!AO50</f>
        <v/>
      </c>
      <c r="AP7" s="156">
        <f>'Amortization Table'!AP50</f>
        <v/>
      </c>
      <c r="AQ7" s="156">
        <f>'Amortization Table'!AQ50</f>
        <v/>
      </c>
      <c r="AR7" s="156">
        <f>'Amortization Table'!AR50</f>
        <v/>
      </c>
      <c r="AS7" s="156">
        <f>'Amortization Table'!AS50</f>
        <v/>
      </c>
      <c r="AT7" s="156">
        <f>'Amortization Table'!AT50</f>
        <v/>
      </c>
      <c r="AU7" s="156">
        <f>'Amortization Table'!AU50</f>
        <v/>
      </c>
      <c r="AV7" s="156">
        <f>'Amortization Table'!AV50</f>
        <v/>
      </c>
      <c r="AW7" s="156">
        <f>'Amortization Table'!AW50</f>
        <v/>
      </c>
      <c r="AX7" s="156">
        <f>'Amortization Table'!AX50</f>
        <v/>
      </c>
      <c r="AY7" s="156">
        <f>'Amortization Table'!AY50</f>
        <v/>
      </c>
      <c r="AZ7" s="156">
        <f>'Amortization Table'!AZ50</f>
        <v/>
      </c>
      <c r="BA7" s="156">
        <f>'Amortization Table'!BA50</f>
        <v/>
      </c>
      <c r="BB7" s="156">
        <f>'Amortization Table'!BB50</f>
        <v/>
      </c>
      <c r="BC7" s="156">
        <f>'Amortization Table'!BC50</f>
        <v/>
      </c>
      <c r="BD7" s="156">
        <f>'Amortization Table'!BD50</f>
        <v/>
      </c>
      <c r="BE7" s="156">
        <f>'Amortization Table'!BE50</f>
        <v/>
      </c>
      <c r="BF7" s="156">
        <f>'Amortization Table'!BF50</f>
        <v/>
      </c>
      <c r="BG7" s="156">
        <f>'Amortization Table'!BG50</f>
        <v/>
      </c>
      <c r="BH7" s="156">
        <f>'Amortization Table'!BH50</f>
        <v/>
      </c>
      <c r="BI7" s="156">
        <f>'Amortization Table'!BI50</f>
        <v/>
      </c>
      <c r="BJ7" s="156">
        <f>'Amortization Table'!BJ50</f>
        <v/>
      </c>
      <c r="BL7" s="157">
        <f>C7+D7+E7+F7+G7+H7+I7+J7+K7+L7+M7+N7</f>
        <v/>
      </c>
      <c r="BM7" s="157">
        <f>O7+P7+Q7+R7+S7+T7+U7+V7+W7+X7+Y7+Z7</f>
        <v/>
      </c>
      <c r="BN7" s="157">
        <f>AA7+AB7+AC7+AD7+AE7+AF7+AG7+AH7+AI7+AJ7+AK7+AL7</f>
        <v/>
      </c>
      <c r="BO7" s="157">
        <f>AM7+AN7+AO7+AP7+AQ7+AR7+AS7+AT7+AU7+AV7+AW7+AX7</f>
        <v/>
      </c>
      <c r="BP7" s="157">
        <f>AY7+AZ7+BA7+BB7+BC7+BD7+BE7+BF7+BG7+BH7+BI7+BJ7</f>
        <v/>
      </c>
    </row>
    <row r="8" ht="15" customHeight="1" s="104">
      <c r="A8" s="107" t="inlineStr">
        <is>
          <t xml:space="preserve">    Add: Goodwill Amortization (§197, non-cash)</t>
        </is>
      </c>
      <c r="C8" s="156">
        <f>'Amortization Table'!C51</f>
        <v/>
      </c>
      <c r="D8" s="156">
        <f>'Amortization Table'!D51</f>
        <v/>
      </c>
      <c r="E8" s="156">
        <f>'Amortization Table'!E51</f>
        <v/>
      </c>
      <c r="F8" s="156">
        <f>'Amortization Table'!F51</f>
        <v/>
      </c>
      <c r="G8" s="156">
        <f>'Amortization Table'!G51</f>
        <v/>
      </c>
      <c r="H8" s="156">
        <f>'Amortization Table'!H51</f>
        <v/>
      </c>
      <c r="I8" s="156">
        <f>'Amortization Table'!I51</f>
        <v/>
      </c>
      <c r="J8" s="156">
        <f>'Amortization Table'!J51</f>
        <v/>
      </c>
      <c r="K8" s="156">
        <f>'Amortization Table'!K51</f>
        <v/>
      </c>
      <c r="L8" s="156">
        <f>'Amortization Table'!L51</f>
        <v/>
      </c>
      <c r="M8" s="156">
        <f>'Amortization Table'!M51</f>
        <v/>
      </c>
      <c r="N8" s="156">
        <f>'Amortization Table'!N51</f>
        <v/>
      </c>
      <c r="O8" s="156">
        <f>'Amortization Table'!O51</f>
        <v/>
      </c>
      <c r="P8" s="156">
        <f>'Amortization Table'!P51</f>
        <v/>
      </c>
      <c r="Q8" s="156">
        <f>'Amortization Table'!Q51</f>
        <v/>
      </c>
      <c r="R8" s="156">
        <f>'Amortization Table'!R51</f>
        <v/>
      </c>
      <c r="S8" s="156">
        <f>'Amortization Table'!S51</f>
        <v/>
      </c>
      <c r="T8" s="156">
        <f>'Amortization Table'!T51</f>
        <v/>
      </c>
      <c r="U8" s="156">
        <f>'Amortization Table'!U51</f>
        <v/>
      </c>
      <c r="V8" s="156">
        <f>'Amortization Table'!V51</f>
        <v/>
      </c>
      <c r="W8" s="156">
        <f>'Amortization Table'!W51</f>
        <v/>
      </c>
      <c r="X8" s="156">
        <f>'Amortization Table'!X51</f>
        <v/>
      </c>
      <c r="Y8" s="156">
        <f>'Amortization Table'!Y51</f>
        <v/>
      </c>
      <c r="Z8" s="156">
        <f>'Amortization Table'!Z51</f>
        <v/>
      </c>
      <c r="AA8" s="156">
        <f>'Amortization Table'!AA51</f>
        <v/>
      </c>
      <c r="AB8" s="156">
        <f>'Amortization Table'!AB51</f>
        <v/>
      </c>
      <c r="AC8" s="156">
        <f>'Amortization Table'!AC51</f>
        <v/>
      </c>
      <c r="AD8" s="156">
        <f>'Amortization Table'!AD51</f>
        <v/>
      </c>
      <c r="AE8" s="156">
        <f>'Amortization Table'!AE51</f>
        <v/>
      </c>
      <c r="AF8" s="156">
        <f>'Amortization Table'!AF51</f>
        <v/>
      </c>
      <c r="AG8" s="156">
        <f>'Amortization Table'!AG51</f>
        <v/>
      </c>
      <c r="AH8" s="156">
        <f>'Amortization Table'!AH51</f>
        <v/>
      </c>
      <c r="AI8" s="156">
        <f>'Amortization Table'!AI51</f>
        <v/>
      </c>
      <c r="AJ8" s="156">
        <f>'Amortization Table'!AJ51</f>
        <v/>
      </c>
      <c r="AK8" s="156">
        <f>'Amortization Table'!AK51</f>
        <v/>
      </c>
      <c r="AL8" s="156">
        <f>'Amortization Table'!AL51</f>
        <v/>
      </c>
      <c r="AM8" s="156">
        <f>'Amortization Table'!AM51</f>
        <v/>
      </c>
      <c r="AN8" s="156">
        <f>'Amortization Table'!AN51</f>
        <v/>
      </c>
      <c r="AO8" s="156">
        <f>'Amortization Table'!AO51</f>
        <v/>
      </c>
      <c r="AP8" s="156">
        <f>'Amortization Table'!AP51</f>
        <v/>
      </c>
      <c r="AQ8" s="156">
        <f>'Amortization Table'!AQ51</f>
        <v/>
      </c>
      <c r="AR8" s="156">
        <f>'Amortization Table'!AR51</f>
        <v/>
      </c>
      <c r="AS8" s="156">
        <f>'Amortization Table'!AS51</f>
        <v/>
      </c>
      <c r="AT8" s="156">
        <f>'Amortization Table'!AT51</f>
        <v/>
      </c>
      <c r="AU8" s="156">
        <f>'Amortization Table'!AU51</f>
        <v/>
      </c>
      <c r="AV8" s="156">
        <f>'Amortization Table'!AV51</f>
        <v/>
      </c>
      <c r="AW8" s="156">
        <f>'Amortization Table'!AW51</f>
        <v/>
      </c>
      <c r="AX8" s="156">
        <f>'Amortization Table'!AX51</f>
        <v/>
      </c>
      <c r="AY8" s="156">
        <f>'Amortization Table'!AY51</f>
        <v/>
      </c>
      <c r="AZ8" s="156">
        <f>'Amortization Table'!AZ51</f>
        <v/>
      </c>
      <c r="BA8" s="156">
        <f>'Amortization Table'!BA51</f>
        <v/>
      </c>
      <c r="BB8" s="156">
        <f>'Amortization Table'!BB51</f>
        <v/>
      </c>
      <c r="BC8" s="156">
        <f>'Amortization Table'!BC51</f>
        <v/>
      </c>
      <c r="BD8" s="156">
        <f>'Amortization Table'!BD51</f>
        <v/>
      </c>
      <c r="BE8" s="156">
        <f>'Amortization Table'!BE51</f>
        <v/>
      </c>
      <c r="BF8" s="156">
        <f>'Amortization Table'!BF51</f>
        <v/>
      </c>
      <c r="BG8" s="156">
        <f>'Amortization Table'!BG51</f>
        <v/>
      </c>
      <c r="BH8" s="156">
        <f>'Amortization Table'!BH51</f>
        <v/>
      </c>
      <c r="BI8" s="156">
        <f>'Amortization Table'!BI51</f>
        <v/>
      </c>
      <c r="BJ8" s="156">
        <f>'Amortization Table'!BJ51</f>
        <v/>
      </c>
      <c r="BL8" s="157">
        <f>C8+D8+E8+F8+G8+H8+I8+J8+K8+L8+M8+N8</f>
        <v/>
      </c>
      <c r="BM8" s="157">
        <f>O8+P8+Q8+R8+S8+T8+U8+V8+W8+X8+Y8+Z8</f>
        <v/>
      </c>
      <c r="BN8" s="157">
        <f>AA8+AB8+AC8+AD8+AE8+AF8+AG8+AH8+AI8+AJ8+AK8+AL8</f>
        <v/>
      </c>
      <c r="BO8" s="157">
        <f>AM8+AN8+AO8+AP8+AQ8+AR8+AS8+AT8+AU8+AV8+AW8+AX8</f>
        <v/>
      </c>
      <c r="BP8" s="157">
        <f>AY8+AZ8+BA8+BB8+BC8+BD8+BE8+BF8+BG8+BH8+BI8+BJ8</f>
        <v/>
      </c>
    </row>
    <row r="9" ht="15" customHeight="1" s="104">
      <c r="A9" s="109" t="inlineStr">
        <is>
          <t xml:space="preserve">    Changes in Working Capital:</t>
        </is>
      </c>
    </row>
    <row r="10" ht="15" customHeight="1" s="104">
      <c r="A10" s="107" t="inlineStr">
        <is>
          <t xml:space="preserve">        (Increase) / Decrease in Accounts Receivable</t>
        </is>
      </c>
      <c r="C10" s="156">
        <f>0</f>
        <v/>
      </c>
      <c r="D10" s="156">
        <f>IF((IF(AND(Assumptions!B51&lt;&gt;"",IFERROR(DATEVALUE(TEXT(Assumptions!B51,"MM/DD/YYYY")),0)&gt;=DATE(2026,11,1),IFERROR(DATEVALUE(TEXT(Assumptions!B51,"MM/DD/YYYY")),0)&lt;=DATE(2026,11,30)),1,0)+IF(AND(Assumptions!B52&lt;&gt;"",IFERROR(DATEVALUE(TEXT(Assumptions!B52,"MM/DD/YYYY")),0)&gt;=DATE(2026,11,1),IFERROR(DATEVALUE(TEXT(Assumptions!B52,"MM/DD/YYYY")),0)&lt;=DATE(2026,11,30)),1,0)+IF(AND(Assumptions!B53&lt;&gt;"",IFERROR(DATEVALUE(TEXT(Assumptions!B53,"MM/DD/YYYY")),0)&gt;=DATE(2026,11,1),IFERROR(DATEVALUE(TEXT(Assumptions!B53,"MM/DD/YYYY")),0)&lt;=DATE(2026,11,30)),1,0)+IF(AND(Assumptions!B54&lt;&gt;"",IFERROR(DATEVALUE(TEXT(Assumptions!B54,"MM/DD/YYYY")),0)&gt;=DATE(2026,11,1),IFERROR(DATEVALUE(TEXT(Assumptions!B54,"MM/DD/YYYY")),0)&lt;=DATE(2026,11,30)),1,0)+IF(AND(Assumptions!B55&lt;&gt;"",IFERROR(DATEVALUE(TEXT(Assumptions!B55,"MM/DD/YYYY")),0)&gt;=DATE(2026,11,1),IFERROR(DATEVALUE(TEXT(Assumptions!B55,"MM/DD/YYYY")),0)&lt;=DATE(2026,11,30)),1,0)+IF(AND(Assumptions!B56&lt;&gt;"",IFERROR(DATEVALUE(TEXT(Assumptions!B56,"MM/DD/YYYY")),0)&gt;=DATE(2026,11,1),IFERROR(DATEVALUE(TEXT(Assumptions!B56,"MM/DD/YYYY")),0)&lt;=DATE(2026,11,30)),1,0)+IF(AND(Assumptions!B57&lt;&gt;"",IFERROR(DATEVALUE(TEXT(Assumptions!B57,"MM/DD/YYYY")),0)&gt;=DATE(2026,11,1),IFERROR(DATEVALUE(TEXT(Assumptions!B57,"MM/DD/YYYY")),0)&lt;=DATE(2026,11,30)),1,0)+IF(AND(Assumptions!B58&lt;&gt;"",IFERROR(DATEVALUE(TEXT(Assumptions!B58,"MM/DD/YYYY")),0)&gt;=DATE(2026,11,1),IFERROR(DATEVALUE(TEXT(Assumptions!B58,"MM/DD/YYYY")),0)&lt;=DATE(2026,11,30)),1,0)+IF(AND(Assumptions!B59&lt;&gt;"",IFERROR(DATEVALUE(TEXT(Assumptions!B59,"MM/DD/YYYY")),0)&gt;=DATE(2026,11,1),IFERROR(DATEVALUE(TEXT(Assumptions!B59,"MM/DD/YYYY")),0)&lt;=DATE(2026,11,30)),1,0)+IF(AND(Assumptions!B60&lt;&gt;"",IFERROR(DATEVALUE(TEXT(Assumptions!B60,"MM/DD/YYYY")),0)&gt;=DATE(2026,11,1),IFERROR(DATEVALUE(TEXT(Assumptions!B60,"MM/DD/YYYY")),0)&lt;=DATE(2026,11,30)),1,0))&gt;0,0,-('Working Capital'!D6-'Working Capital'!C6))</f>
        <v/>
      </c>
      <c r="E10" s="156">
        <f>IF((IF(AND(Assumptions!B51&lt;&gt;"",IFERROR(DATEVALUE(TEXT(Assumptions!B51,"MM/DD/YYYY")),0)&gt;=DATE(2026,12,1),IFERROR(DATEVALUE(TEXT(Assumptions!B51,"MM/DD/YYYY")),0)&lt;=DATE(2026,12,31)),1,0)+IF(AND(Assumptions!B52&lt;&gt;"",IFERROR(DATEVALUE(TEXT(Assumptions!B52,"MM/DD/YYYY")),0)&gt;=DATE(2026,12,1),IFERROR(DATEVALUE(TEXT(Assumptions!B52,"MM/DD/YYYY")),0)&lt;=DATE(2026,12,31)),1,0)+IF(AND(Assumptions!B53&lt;&gt;"",IFERROR(DATEVALUE(TEXT(Assumptions!B53,"MM/DD/YYYY")),0)&gt;=DATE(2026,12,1),IFERROR(DATEVALUE(TEXT(Assumptions!B53,"MM/DD/YYYY")),0)&lt;=DATE(2026,12,31)),1,0)+IF(AND(Assumptions!B54&lt;&gt;"",IFERROR(DATEVALUE(TEXT(Assumptions!B54,"MM/DD/YYYY")),0)&gt;=DATE(2026,12,1),IFERROR(DATEVALUE(TEXT(Assumptions!B54,"MM/DD/YYYY")),0)&lt;=DATE(2026,12,31)),1,0)+IF(AND(Assumptions!B55&lt;&gt;"",IFERROR(DATEVALUE(TEXT(Assumptions!B55,"MM/DD/YYYY")),0)&gt;=DATE(2026,12,1),IFERROR(DATEVALUE(TEXT(Assumptions!B55,"MM/DD/YYYY")),0)&lt;=DATE(2026,12,31)),1,0)+IF(AND(Assumptions!B56&lt;&gt;"",IFERROR(DATEVALUE(TEXT(Assumptions!B56,"MM/DD/YYYY")),0)&gt;=DATE(2026,12,1),IFERROR(DATEVALUE(TEXT(Assumptions!B56,"MM/DD/YYYY")),0)&lt;=DATE(2026,12,31)),1,0)+IF(AND(Assumptions!B57&lt;&gt;"",IFERROR(DATEVALUE(TEXT(Assumptions!B57,"MM/DD/YYYY")),0)&gt;=DATE(2026,12,1),IFERROR(DATEVALUE(TEXT(Assumptions!B57,"MM/DD/YYYY")),0)&lt;=DATE(2026,12,31)),1,0)+IF(AND(Assumptions!B58&lt;&gt;"",IFERROR(DATEVALUE(TEXT(Assumptions!B58,"MM/DD/YYYY")),0)&gt;=DATE(2026,12,1),IFERROR(DATEVALUE(TEXT(Assumptions!B58,"MM/DD/YYYY")),0)&lt;=DATE(2026,12,31)),1,0)+IF(AND(Assumptions!B59&lt;&gt;"",IFERROR(DATEVALUE(TEXT(Assumptions!B59,"MM/DD/YYYY")),0)&gt;=DATE(2026,12,1),IFERROR(DATEVALUE(TEXT(Assumptions!B59,"MM/DD/YYYY")),0)&lt;=DATE(2026,12,31)),1,0)+IF(AND(Assumptions!B60&lt;&gt;"",IFERROR(DATEVALUE(TEXT(Assumptions!B60,"MM/DD/YYYY")),0)&gt;=DATE(2026,12,1),IFERROR(DATEVALUE(TEXT(Assumptions!B60,"MM/DD/YYYY")),0)&lt;=DATE(2026,12,31)),1,0))&gt;0,0,-('Working Capital'!E6-'Working Capital'!D6))</f>
        <v/>
      </c>
      <c r="F10" s="156">
        <f>IF((IF(AND(Assumptions!B51&lt;&gt;"",IFERROR(DATEVALUE(TEXT(Assumptions!B51,"MM/DD/YYYY")),0)&gt;=DATE(2027,1,1),IFERROR(DATEVALUE(TEXT(Assumptions!B51,"MM/DD/YYYY")),0)&lt;=DATE(2027,1,31)),1,0)+IF(AND(Assumptions!B52&lt;&gt;"",IFERROR(DATEVALUE(TEXT(Assumptions!B52,"MM/DD/YYYY")),0)&gt;=DATE(2027,1,1),IFERROR(DATEVALUE(TEXT(Assumptions!B52,"MM/DD/YYYY")),0)&lt;=DATE(2027,1,31)),1,0)+IF(AND(Assumptions!B53&lt;&gt;"",IFERROR(DATEVALUE(TEXT(Assumptions!B53,"MM/DD/YYYY")),0)&gt;=DATE(2027,1,1),IFERROR(DATEVALUE(TEXT(Assumptions!B53,"MM/DD/YYYY")),0)&lt;=DATE(2027,1,31)),1,0)+IF(AND(Assumptions!B54&lt;&gt;"",IFERROR(DATEVALUE(TEXT(Assumptions!B54,"MM/DD/YYYY")),0)&gt;=DATE(2027,1,1),IFERROR(DATEVALUE(TEXT(Assumptions!B54,"MM/DD/YYYY")),0)&lt;=DATE(2027,1,31)),1,0)+IF(AND(Assumptions!B55&lt;&gt;"",IFERROR(DATEVALUE(TEXT(Assumptions!B55,"MM/DD/YYYY")),0)&gt;=DATE(2027,1,1),IFERROR(DATEVALUE(TEXT(Assumptions!B55,"MM/DD/YYYY")),0)&lt;=DATE(2027,1,31)),1,0)+IF(AND(Assumptions!B56&lt;&gt;"",IFERROR(DATEVALUE(TEXT(Assumptions!B56,"MM/DD/YYYY")),0)&gt;=DATE(2027,1,1),IFERROR(DATEVALUE(TEXT(Assumptions!B56,"MM/DD/YYYY")),0)&lt;=DATE(2027,1,31)),1,0)+IF(AND(Assumptions!B57&lt;&gt;"",IFERROR(DATEVALUE(TEXT(Assumptions!B57,"MM/DD/YYYY")),0)&gt;=DATE(2027,1,1),IFERROR(DATEVALUE(TEXT(Assumptions!B57,"MM/DD/YYYY")),0)&lt;=DATE(2027,1,31)),1,0)+IF(AND(Assumptions!B58&lt;&gt;"",IFERROR(DATEVALUE(TEXT(Assumptions!B58,"MM/DD/YYYY")),0)&gt;=DATE(2027,1,1),IFERROR(DATEVALUE(TEXT(Assumptions!B58,"MM/DD/YYYY")),0)&lt;=DATE(2027,1,31)),1,0)+IF(AND(Assumptions!B59&lt;&gt;"",IFERROR(DATEVALUE(TEXT(Assumptions!B59,"MM/DD/YYYY")),0)&gt;=DATE(2027,1,1),IFERROR(DATEVALUE(TEXT(Assumptions!B59,"MM/DD/YYYY")),0)&lt;=DATE(2027,1,31)),1,0)+IF(AND(Assumptions!B60&lt;&gt;"",IFERROR(DATEVALUE(TEXT(Assumptions!B60,"MM/DD/YYYY")),0)&gt;=DATE(2027,1,1),IFERROR(DATEVALUE(TEXT(Assumptions!B60,"MM/DD/YYYY")),0)&lt;=DATE(2027,1,31)),1,0))&gt;0,0,-('Working Capital'!F6-'Working Capital'!E6))</f>
        <v/>
      </c>
      <c r="G10" s="156">
        <f>IF((IF(AND(Assumptions!B51&lt;&gt;"",IFERROR(DATEVALUE(TEXT(Assumptions!B51,"MM/DD/YYYY")),0)&gt;=DATE(2027,2,1),IFERROR(DATEVALUE(TEXT(Assumptions!B51,"MM/DD/YYYY")),0)&lt;=DATE(2027,2,28)),1,0)+IF(AND(Assumptions!B52&lt;&gt;"",IFERROR(DATEVALUE(TEXT(Assumptions!B52,"MM/DD/YYYY")),0)&gt;=DATE(2027,2,1),IFERROR(DATEVALUE(TEXT(Assumptions!B52,"MM/DD/YYYY")),0)&lt;=DATE(2027,2,28)),1,0)+IF(AND(Assumptions!B53&lt;&gt;"",IFERROR(DATEVALUE(TEXT(Assumptions!B53,"MM/DD/YYYY")),0)&gt;=DATE(2027,2,1),IFERROR(DATEVALUE(TEXT(Assumptions!B53,"MM/DD/YYYY")),0)&lt;=DATE(2027,2,28)),1,0)+IF(AND(Assumptions!B54&lt;&gt;"",IFERROR(DATEVALUE(TEXT(Assumptions!B54,"MM/DD/YYYY")),0)&gt;=DATE(2027,2,1),IFERROR(DATEVALUE(TEXT(Assumptions!B54,"MM/DD/YYYY")),0)&lt;=DATE(2027,2,28)),1,0)+IF(AND(Assumptions!B55&lt;&gt;"",IFERROR(DATEVALUE(TEXT(Assumptions!B55,"MM/DD/YYYY")),0)&gt;=DATE(2027,2,1),IFERROR(DATEVALUE(TEXT(Assumptions!B55,"MM/DD/YYYY")),0)&lt;=DATE(2027,2,28)),1,0)+IF(AND(Assumptions!B56&lt;&gt;"",IFERROR(DATEVALUE(TEXT(Assumptions!B56,"MM/DD/YYYY")),0)&gt;=DATE(2027,2,1),IFERROR(DATEVALUE(TEXT(Assumptions!B56,"MM/DD/YYYY")),0)&lt;=DATE(2027,2,28)),1,0)+IF(AND(Assumptions!B57&lt;&gt;"",IFERROR(DATEVALUE(TEXT(Assumptions!B57,"MM/DD/YYYY")),0)&gt;=DATE(2027,2,1),IFERROR(DATEVALUE(TEXT(Assumptions!B57,"MM/DD/YYYY")),0)&lt;=DATE(2027,2,28)),1,0)+IF(AND(Assumptions!B58&lt;&gt;"",IFERROR(DATEVALUE(TEXT(Assumptions!B58,"MM/DD/YYYY")),0)&gt;=DATE(2027,2,1),IFERROR(DATEVALUE(TEXT(Assumptions!B58,"MM/DD/YYYY")),0)&lt;=DATE(2027,2,28)),1,0)+IF(AND(Assumptions!B59&lt;&gt;"",IFERROR(DATEVALUE(TEXT(Assumptions!B59,"MM/DD/YYYY")),0)&gt;=DATE(2027,2,1),IFERROR(DATEVALUE(TEXT(Assumptions!B59,"MM/DD/YYYY")),0)&lt;=DATE(2027,2,28)),1,0)+IF(AND(Assumptions!B60&lt;&gt;"",IFERROR(DATEVALUE(TEXT(Assumptions!B60,"MM/DD/YYYY")),0)&gt;=DATE(2027,2,1),IFERROR(DATEVALUE(TEXT(Assumptions!B60,"MM/DD/YYYY")),0)&lt;=DATE(2027,2,28)),1,0))&gt;0,0,-('Working Capital'!G6-'Working Capital'!F6))</f>
        <v/>
      </c>
      <c r="H10" s="156">
        <f>IF((IF(AND(Assumptions!B51&lt;&gt;"",IFERROR(DATEVALUE(TEXT(Assumptions!B51,"MM/DD/YYYY")),0)&gt;=DATE(2027,3,1),IFERROR(DATEVALUE(TEXT(Assumptions!B51,"MM/DD/YYYY")),0)&lt;=DATE(2027,3,31)),1,0)+IF(AND(Assumptions!B52&lt;&gt;"",IFERROR(DATEVALUE(TEXT(Assumptions!B52,"MM/DD/YYYY")),0)&gt;=DATE(2027,3,1),IFERROR(DATEVALUE(TEXT(Assumptions!B52,"MM/DD/YYYY")),0)&lt;=DATE(2027,3,31)),1,0)+IF(AND(Assumptions!B53&lt;&gt;"",IFERROR(DATEVALUE(TEXT(Assumptions!B53,"MM/DD/YYYY")),0)&gt;=DATE(2027,3,1),IFERROR(DATEVALUE(TEXT(Assumptions!B53,"MM/DD/YYYY")),0)&lt;=DATE(2027,3,31)),1,0)+IF(AND(Assumptions!B54&lt;&gt;"",IFERROR(DATEVALUE(TEXT(Assumptions!B54,"MM/DD/YYYY")),0)&gt;=DATE(2027,3,1),IFERROR(DATEVALUE(TEXT(Assumptions!B54,"MM/DD/YYYY")),0)&lt;=DATE(2027,3,31)),1,0)+IF(AND(Assumptions!B55&lt;&gt;"",IFERROR(DATEVALUE(TEXT(Assumptions!B55,"MM/DD/YYYY")),0)&gt;=DATE(2027,3,1),IFERROR(DATEVALUE(TEXT(Assumptions!B55,"MM/DD/YYYY")),0)&lt;=DATE(2027,3,31)),1,0)+IF(AND(Assumptions!B56&lt;&gt;"",IFERROR(DATEVALUE(TEXT(Assumptions!B56,"MM/DD/YYYY")),0)&gt;=DATE(2027,3,1),IFERROR(DATEVALUE(TEXT(Assumptions!B56,"MM/DD/YYYY")),0)&lt;=DATE(2027,3,31)),1,0)+IF(AND(Assumptions!B57&lt;&gt;"",IFERROR(DATEVALUE(TEXT(Assumptions!B57,"MM/DD/YYYY")),0)&gt;=DATE(2027,3,1),IFERROR(DATEVALUE(TEXT(Assumptions!B57,"MM/DD/YYYY")),0)&lt;=DATE(2027,3,31)),1,0)+IF(AND(Assumptions!B58&lt;&gt;"",IFERROR(DATEVALUE(TEXT(Assumptions!B58,"MM/DD/YYYY")),0)&gt;=DATE(2027,3,1),IFERROR(DATEVALUE(TEXT(Assumptions!B58,"MM/DD/YYYY")),0)&lt;=DATE(2027,3,31)),1,0)+IF(AND(Assumptions!B59&lt;&gt;"",IFERROR(DATEVALUE(TEXT(Assumptions!B59,"MM/DD/YYYY")),0)&gt;=DATE(2027,3,1),IFERROR(DATEVALUE(TEXT(Assumptions!B59,"MM/DD/YYYY")),0)&lt;=DATE(2027,3,31)),1,0)+IF(AND(Assumptions!B60&lt;&gt;"",IFERROR(DATEVALUE(TEXT(Assumptions!B60,"MM/DD/YYYY")),0)&gt;=DATE(2027,3,1),IFERROR(DATEVALUE(TEXT(Assumptions!B60,"MM/DD/YYYY")),0)&lt;=DATE(2027,3,31)),1,0))&gt;0,0,-('Working Capital'!H6-'Working Capital'!G6))</f>
        <v/>
      </c>
      <c r="I10" s="156">
        <f>IF((IF(AND(Assumptions!B51&lt;&gt;"",IFERROR(DATEVALUE(TEXT(Assumptions!B51,"MM/DD/YYYY")),0)&gt;=DATE(2027,4,1),IFERROR(DATEVALUE(TEXT(Assumptions!B51,"MM/DD/YYYY")),0)&lt;=DATE(2027,4,30)),1,0)+IF(AND(Assumptions!B52&lt;&gt;"",IFERROR(DATEVALUE(TEXT(Assumptions!B52,"MM/DD/YYYY")),0)&gt;=DATE(2027,4,1),IFERROR(DATEVALUE(TEXT(Assumptions!B52,"MM/DD/YYYY")),0)&lt;=DATE(2027,4,30)),1,0)+IF(AND(Assumptions!B53&lt;&gt;"",IFERROR(DATEVALUE(TEXT(Assumptions!B53,"MM/DD/YYYY")),0)&gt;=DATE(2027,4,1),IFERROR(DATEVALUE(TEXT(Assumptions!B53,"MM/DD/YYYY")),0)&lt;=DATE(2027,4,30)),1,0)+IF(AND(Assumptions!B54&lt;&gt;"",IFERROR(DATEVALUE(TEXT(Assumptions!B54,"MM/DD/YYYY")),0)&gt;=DATE(2027,4,1),IFERROR(DATEVALUE(TEXT(Assumptions!B54,"MM/DD/YYYY")),0)&lt;=DATE(2027,4,30)),1,0)+IF(AND(Assumptions!B55&lt;&gt;"",IFERROR(DATEVALUE(TEXT(Assumptions!B55,"MM/DD/YYYY")),0)&gt;=DATE(2027,4,1),IFERROR(DATEVALUE(TEXT(Assumptions!B55,"MM/DD/YYYY")),0)&lt;=DATE(2027,4,30)),1,0)+IF(AND(Assumptions!B56&lt;&gt;"",IFERROR(DATEVALUE(TEXT(Assumptions!B56,"MM/DD/YYYY")),0)&gt;=DATE(2027,4,1),IFERROR(DATEVALUE(TEXT(Assumptions!B56,"MM/DD/YYYY")),0)&lt;=DATE(2027,4,30)),1,0)+IF(AND(Assumptions!B57&lt;&gt;"",IFERROR(DATEVALUE(TEXT(Assumptions!B57,"MM/DD/YYYY")),0)&gt;=DATE(2027,4,1),IFERROR(DATEVALUE(TEXT(Assumptions!B57,"MM/DD/YYYY")),0)&lt;=DATE(2027,4,30)),1,0)+IF(AND(Assumptions!B58&lt;&gt;"",IFERROR(DATEVALUE(TEXT(Assumptions!B58,"MM/DD/YYYY")),0)&gt;=DATE(2027,4,1),IFERROR(DATEVALUE(TEXT(Assumptions!B58,"MM/DD/YYYY")),0)&lt;=DATE(2027,4,30)),1,0)+IF(AND(Assumptions!B59&lt;&gt;"",IFERROR(DATEVALUE(TEXT(Assumptions!B59,"MM/DD/YYYY")),0)&gt;=DATE(2027,4,1),IFERROR(DATEVALUE(TEXT(Assumptions!B59,"MM/DD/YYYY")),0)&lt;=DATE(2027,4,30)),1,0)+IF(AND(Assumptions!B60&lt;&gt;"",IFERROR(DATEVALUE(TEXT(Assumptions!B60,"MM/DD/YYYY")),0)&gt;=DATE(2027,4,1),IFERROR(DATEVALUE(TEXT(Assumptions!B60,"MM/DD/YYYY")),0)&lt;=DATE(2027,4,30)),1,0))&gt;0,0,-('Working Capital'!I6-'Working Capital'!H6))</f>
        <v/>
      </c>
      <c r="J10" s="156">
        <f>IF((IF(AND(Assumptions!B51&lt;&gt;"",IFERROR(DATEVALUE(TEXT(Assumptions!B51,"MM/DD/YYYY")),0)&gt;=DATE(2027,5,1),IFERROR(DATEVALUE(TEXT(Assumptions!B51,"MM/DD/YYYY")),0)&lt;=DATE(2027,5,31)),1,0)+IF(AND(Assumptions!B52&lt;&gt;"",IFERROR(DATEVALUE(TEXT(Assumptions!B52,"MM/DD/YYYY")),0)&gt;=DATE(2027,5,1),IFERROR(DATEVALUE(TEXT(Assumptions!B52,"MM/DD/YYYY")),0)&lt;=DATE(2027,5,31)),1,0)+IF(AND(Assumptions!B53&lt;&gt;"",IFERROR(DATEVALUE(TEXT(Assumptions!B53,"MM/DD/YYYY")),0)&gt;=DATE(2027,5,1),IFERROR(DATEVALUE(TEXT(Assumptions!B53,"MM/DD/YYYY")),0)&lt;=DATE(2027,5,31)),1,0)+IF(AND(Assumptions!B54&lt;&gt;"",IFERROR(DATEVALUE(TEXT(Assumptions!B54,"MM/DD/YYYY")),0)&gt;=DATE(2027,5,1),IFERROR(DATEVALUE(TEXT(Assumptions!B54,"MM/DD/YYYY")),0)&lt;=DATE(2027,5,31)),1,0)+IF(AND(Assumptions!B55&lt;&gt;"",IFERROR(DATEVALUE(TEXT(Assumptions!B55,"MM/DD/YYYY")),0)&gt;=DATE(2027,5,1),IFERROR(DATEVALUE(TEXT(Assumptions!B55,"MM/DD/YYYY")),0)&lt;=DATE(2027,5,31)),1,0)+IF(AND(Assumptions!B56&lt;&gt;"",IFERROR(DATEVALUE(TEXT(Assumptions!B56,"MM/DD/YYYY")),0)&gt;=DATE(2027,5,1),IFERROR(DATEVALUE(TEXT(Assumptions!B56,"MM/DD/YYYY")),0)&lt;=DATE(2027,5,31)),1,0)+IF(AND(Assumptions!B57&lt;&gt;"",IFERROR(DATEVALUE(TEXT(Assumptions!B57,"MM/DD/YYYY")),0)&gt;=DATE(2027,5,1),IFERROR(DATEVALUE(TEXT(Assumptions!B57,"MM/DD/YYYY")),0)&lt;=DATE(2027,5,31)),1,0)+IF(AND(Assumptions!B58&lt;&gt;"",IFERROR(DATEVALUE(TEXT(Assumptions!B58,"MM/DD/YYYY")),0)&gt;=DATE(2027,5,1),IFERROR(DATEVALUE(TEXT(Assumptions!B58,"MM/DD/YYYY")),0)&lt;=DATE(2027,5,31)),1,0)+IF(AND(Assumptions!B59&lt;&gt;"",IFERROR(DATEVALUE(TEXT(Assumptions!B59,"MM/DD/YYYY")),0)&gt;=DATE(2027,5,1),IFERROR(DATEVALUE(TEXT(Assumptions!B59,"MM/DD/YYYY")),0)&lt;=DATE(2027,5,31)),1,0)+IF(AND(Assumptions!B60&lt;&gt;"",IFERROR(DATEVALUE(TEXT(Assumptions!B60,"MM/DD/YYYY")),0)&gt;=DATE(2027,5,1),IFERROR(DATEVALUE(TEXT(Assumptions!B60,"MM/DD/YYYY")),0)&lt;=DATE(2027,5,31)),1,0))&gt;0,0,-('Working Capital'!J6-'Working Capital'!I6))</f>
        <v/>
      </c>
      <c r="K10" s="156">
        <f>IF((IF(AND(Assumptions!B51&lt;&gt;"",IFERROR(DATEVALUE(TEXT(Assumptions!B51,"MM/DD/YYYY")),0)&gt;=DATE(2027,6,1),IFERROR(DATEVALUE(TEXT(Assumptions!B51,"MM/DD/YYYY")),0)&lt;=DATE(2027,6,30)),1,0)+IF(AND(Assumptions!B52&lt;&gt;"",IFERROR(DATEVALUE(TEXT(Assumptions!B52,"MM/DD/YYYY")),0)&gt;=DATE(2027,6,1),IFERROR(DATEVALUE(TEXT(Assumptions!B52,"MM/DD/YYYY")),0)&lt;=DATE(2027,6,30)),1,0)+IF(AND(Assumptions!B53&lt;&gt;"",IFERROR(DATEVALUE(TEXT(Assumptions!B53,"MM/DD/YYYY")),0)&gt;=DATE(2027,6,1),IFERROR(DATEVALUE(TEXT(Assumptions!B53,"MM/DD/YYYY")),0)&lt;=DATE(2027,6,30)),1,0)+IF(AND(Assumptions!B54&lt;&gt;"",IFERROR(DATEVALUE(TEXT(Assumptions!B54,"MM/DD/YYYY")),0)&gt;=DATE(2027,6,1),IFERROR(DATEVALUE(TEXT(Assumptions!B54,"MM/DD/YYYY")),0)&lt;=DATE(2027,6,30)),1,0)+IF(AND(Assumptions!B55&lt;&gt;"",IFERROR(DATEVALUE(TEXT(Assumptions!B55,"MM/DD/YYYY")),0)&gt;=DATE(2027,6,1),IFERROR(DATEVALUE(TEXT(Assumptions!B55,"MM/DD/YYYY")),0)&lt;=DATE(2027,6,30)),1,0)+IF(AND(Assumptions!B56&lt;&gt;"",IFERROR(DATEVALUE(TEXT(Assumptions!B56,"MM/DD/YYYY")),0)&gt;=DATE(2027,6,1),IFERROR(DATEVALUE(TEXT(Assumptions!B56,"MM/DD/YYYY")),0)&lt;=DATE(2027,6,30)),1,0)+IF(AND(Assumptions!B57&lt;&gt;"",IFERROR(DATEVALUE(TEXT(Assumptions!B57,"MM/DD/YYYY")),0)&gt;=DATE(2027,6,1),IFERROR(DATEVALUE(TEXT(Assumptions!B57,"MM/DD/YYYY")),0)&lt;=DATE(2027,6,30)),1,0)+IF(AND(Assumptions!B58&lt;&gt;"",IFERROR(DATEVALUE(TEXT(Assumptions!B58,"MM/DD/YYYY")),0)&gt;=DATE(2027,6,1),IFERROR(DATEVALUE(TEXT(Assumptions!B58,"MM/DD/YYYY")),0)&lt;=DATE(2027,6,30)),1,0)+IF(AND(Assumptions!B59&lt;&gt;"",IFERROR(DATEVALUE(TEXT(Assumptions!B59,"MM/DD/YYYY")),0)&gt;=DATE(2027,6,1),IFERROR(DATEVALUE(TEXT(Assumptions!B59,"MM/DD/YYYY")),0)&lt;=DATE(2027,6,30)),1,0)+IF(AND(Assumptions!B60&lt;&gt;"",IFERROR(DATEVALUE(TEXT(Assumptions!B60,"MM/DD/YYYY")),0)&gt;=DATE(2027,6,1),IFERROR(DATEVALUE(TEXT(Assumptions!B60,"MM/DD/YYYY")),0)&lt;=DATE(2027,6,30)),1,0))&gt;0,0,-('Working Capital'!K6-'Working Capital'!J6))</f>
        <v/>
      </c>
      <c r="L10" s="156">
        <f>IF((IF(AND(Assumptions!B51&lt;&gt;"",IFERROR(DATEVALUE(TEXT(Assumptions!B51,"MM/DD/YYYY")),0)&gt;=DATE(2027,7,1),IFERROR(DATEVALUE(TEXT(Assumptions!B51,"MM/DD/YYYY")),0)&lt;=DATE(2027,7,31)),1,0)+IF(AND(Assumptions!B52&lt;&gt;"",IFERROR(DATEVALUE(TEXT(Assumptions!B52,"MM/DD/YYYY")),0)&gt;=DATE(2027,7,1),IFERROR(DATEVALUE(TEXT(Assumptions!B52,"MM/DD/YYYY")),0)&lt;=DATE(2027,7,31)),1,0)+IF(AND(Assumptions!B53&lt;&gt;"",IFERROR(DATEVALUE(TEXT(Assumptions!B53,"MM/DD/YYYY")),0)&gt;=DATE(2027,7,1),IFERROR(DATEVALUE(TEXT(Assumptions!B53,"MM/DD/YYYY")),0)&lt;=DATE(2027,7,31)),1,0)+IF(AND(Assumptions!B54&lt;&gt;"",IFERROR(DATEVALUE(TEXT(Assumptions!B54,"MM/DD/YYYY")),0)&gt;=DATE(2027,7,1),IFERROR(DATEVALUE(TEXT(Assumptions!B54,"MM/DD/YYYY")),0)&lt;=DATE(2027,7,31)),1,0)+IF(AND(Assumptions!B55&lt;&gt;"",IFERROR(DATEVALUE(TEXT(Assumptions!B55,"MM/DD/YYYY")),0)&gt;=DATE(2027,7,1),IFERROR(DATEVALUE(TEXT(Assumptions!B55,"MM/DD/YYYY")),0)&lt;=DATE(2027,7,31)),1,0)+IF(AND(Assumptions!B56&lt;&gt;"",IFERROR(DATEVALUE(TEXT(Assumptions!B56,"MM/DD/YYYY")),0)&gt;=DATE(2027,7,1),IFERROR(DATEVALUE(TEXT(Assumptions!B56,"MM/DD/YYYY")),0)&lt;=DATE(2027,7,31)),1,0)+IF(AND(Assumptions!B57&lt;&gt;"",IFERROR(DATEVALUE(TEXT(Assumptions!B57,"MM/DD/YYYY")),0)&gt;=DATE(2027,7,1),IFERROR(DATEVALUE(TEXT(Assumptions!B57,"MM/DD/YYYY")),0)&lt;=DATE(2027,7,31)),1,0)+IF(AND(Assumptions!B58&lt;&gt;"",IFERROR(DATEVALUE(TEXT(Assumptions!B58,"MM/DD/YYYY")),0)&gt;=DATE(2027,7,1),IFERROR(DATEVALUE(TEXT(Assumptions!B58,"MM/DD/YYYY")),0)&lt;=DATE(2027,7,31)),1,0)+IF(AND(Assumptions!B59&lt;&gt;"",IFERROR(DATEVALUE(TEXT(Assumptions!B59,"MM/DD/YYYY")),0)&gt;=DATE(2027,7,1),IFERROR(DATEVALUE(TEXT(Assumptions!B59,"MM/DD/YYYY")),0)&lt;=DATE(2027,7,31)),1,0)+IF(AND(Assumptions!B60&lt;&gt;"",IFERROR(DATEVALUE(TEXT(Assumptions!B60,"MM/DD/YYYY")),0)&gt;=DATE(2027,7,1),IFERROR(DATEVALUE(TEXT(Assumptions!B60,"MM/DD/YYYY")),0)&lt;=DATE(2027,7,31)),1,0))&gt;0,0,-('Working Capital'!L6-'Working Capital'!K6))</f>
        <v/>
      </c>
      <c r="M10" s="156">
        <f>IF((IF(AND(Assumptions!B51&lt;&gt;"",IFERROR(DATEVALUE(TEXT(Assumptions!B51,"MM/DD/YYYY")),0)&gt;=DATE(2027,8,1),IFERROR(DATEVALUE(TEXT(Assumptions!B51,"MM/DD/YYYY")),0)&lt;=DATE(2027,8,31)),1,0)+IF(AND(Assumptions!B52&lt;&gt;"",IFERROR(DATEVALUE(TEXT(Assumptions!B52,"MM/DD/YYYY")),0)&gt;=DATE(2027,8,1),IFERROR(DATEVALUE(TEXT(Assumptions!B52,"MM/DD/YYYY")),0)&lt;=DATE(2027,8,31)),1,0)+IF(AND(Assumptions!B53&lt;&gt;"",IFERROR(DATEVALUE(TEXT(Assumptions!B53,"MM/DD/YYYY")),0)&gt;=DATE(2027,8,1),IFERROR(DATEVALUE(TEXT(Assumptions!B53,"MM/DD/YYYY")),0)&lt;=DATE(2027,8,31)),1,0)+IF(AND(Assumptions!B54&lt;&gt;"",IFERROR(DATEVALUE(TEXT(Assumptions!B54,"MM/DD/YYYY")),0)&gt;=DATE(2027,8,1),IFERROR(DATEVALUE(TEXT(Assumptions!B54,"MM/DD/YYYY")),0)&lt;=DATE(2027,8,31)),1,0)+IF(AND(Assumptions!B55&lt;&gt;"",IFERROR(DATEVALUE(TEXT(Assumptions!B55,"MM/DD/YYYY")),0)&gt;=DATE(2027,8,1),IFERROR(DATEVALUE(TEXT(Assumptions!B55,"MM/DD/YYYY")),0)&lt;=DATE(2027,8,31)),1,0)+IF(AND(Assumptions!B56&lt;&gt;"",IFERROR(DATEVALUE(TEXT(Assumptions!B56,"MM/DD/YYYY")),0)&gt;=DATE(2027,8,1),IFERROR(DATEVALUE(TEXT(Assumptions!B56,"MM/DD/YYYY")),0)&lt;=DATE(2027,8,31)),1,0)+IF(AND(Assumptions!B57&lt;&gt;"",IFERROR(DATEVALUE(TEXT(Assumptions!B57,"MM/DD/YYYY")),0)&gt;=DATE(2027,8,1),IFERROR(DATEVALUE(TEXT(Assumptions!B57,"MM/DD/YYYY")),0)&lt;=DATE(2027,8,31)),1,0)+IF(AND(Assumptions!B58&lt;&gt;"",IFERROR(DATEVALUE(TEXT(Assumptions!B58,"MM/DD/YYYY")),0)&gt;=DATE(2027,8,1),IFERROR(DATEVALUE(TEXT(Assumptions!B58,"MM/DD/YYYY")),0)&lt;=DATE(2027,8,31)),1,0)+IF(AND(Assumptions!B59&lt;&gt;"",IFERROR(DATEVALUE(TEXT(Assumptions!B59,"MM/DD/YYYY")),0)&gt;=DATE(2027,8,1),IFERROR(DATEVALUE(TEXT(Assumptions!B59,"MM/DD/YYYY")),0)&lt;=DATE(2027,8,31)),1,0)+IF(AND(Assumptions!B60&lt;&gt;"",IFERROR(DATEVALUE(TEXT(Assumptions!B60,"MM/DD/YYYY")),0)&gt;=DATE(2027,8,1),IFERROR(DATEVALUE(TEXT(Assumptions!B60,"MM/DD/YYYY")),0)&lt;=DATE(2027,8,31)),1,0))&gt;0,0,-('Working Capital'!M6-'Working Capital'!L6))</f>
        <v/>
      </c>
      <c r="N10" s="156">
        <f>IF((IF(AND(Assumptions!B51&lt;&gt;"",IFERROR(DATEVALUE(TEXT(Assumptions!B51,"MM/DD/YYYY")),0)&gt;=DATE(2027,9,1),IFERROR(DATEVALUE(TEXT(Assumptions!B51,"MM/DD/YYYY")),0)&lt;=DATE(2027,9,30)),1,0)+IF(AND(Assumptions!B52&lt;&gt;"",IFERROR(DATEVALUE(TEXT(Assumptions!B52,"MM/DD/YYYY")),0)&gt;=DATE(2027,9,1),IFERROR(DATEVALUE(TEXT(Assumptions!B52,"MM/DD/YYYY")),0)&lt;=DATE(2027,9,30)),1,0)+IF(AND(Assumptions!B53&lt;&gt;"",IFERROR(DATEVALUE(TEXT(Assumptions!B53,"MM/DD/YYYY")),0)&gt;=DATE(2027,9,1),IFERROR(DATEVALUE(TEXT(Assumptions!B53,"MM/DD/YYYY")),0)&lt;=DATE(2027,9,30)),1,0)+IF(AND(Assumptions!B54&lt;&gt;"",IFERROR(DATEVALUE(TEXT(Assumptions!B54,"MM/DD/YYYY")),0)&gt;=DATE(2027,9,1),IFERROR(DATEVALUE(TEXT(Assumptions!B54,"MM/DD/YYYY")),0)&lt;=DATE(2027,9,30)),1,0)+IF(AND(Assumptions!B55&lt;&gt;"",IFERROR(DATEVALUE(TEXT(Assumptions!B55,"MM/DD/YYYY")),0)&gt;=DATE(2027,9,1),IFERROR(DATEVALUE(TEXT(Assumptions!B55,"MM/DD/YYYY")),0)&lt;=DATE(2027,9,30)),1,0)+IF(AND(Assumptions!B56&lt;&gt;"",IFERROR(DATEVALUE(TEXT(Assumptions!B56,"MM/DD/YYYY")),0)&gt;=DATE(2027,9,1),IFERROR(DATEVALUE(TEXT(Assumptions!B56,"MM/DD/YYYY")),0)&lt;=DATE(2027,9,30)),1,0)+IF(AND(Assumptions!B57&lt;&gt;"",IFERROR(DATEVALUE(TEXT(Assumptions!B57,"MM/DD/YYYY")),0)&gt;=DATE(2027,9,1),IFERROR(DATEVALUE(TEXT(Assumptions!B57,"MM/DD/YYYY")),0)&lt;=DATE(2027,9,30)),1,0)+IF(AND(Assumptions!B58&lt;&gt;"",IFERROR(DATEVALUE(TEXT(Assumptions!B58,"MM/DD/YYYY")),0)&gt;=DATE(2027,9,1),IFERROR(DATEVALUE(TEXT(Assumptions!B58,"MM/DD/YYYY")),0)&lt;=DATE(2027,9,30)),1,0)+IF(AND(Assumptions!B59&lt;&gt;"",IFERROR(DATEVALUE(TEXT(Assumptions!B59,"MM/DD/YYYY")),0)&gt;=DATE(2027,9,1),IFERROR(DATEVALUE(TEXT(Assumptions!B59,"MM/DD/YYYY")),0)&lt;=DATE(2027,9,30)),1,0)+IF(AND(Assumptions!B60&lt;&gt;"",IFERROR(DATEVALUE(TEXT(Assumptions!B60,"MM/DD/YYYY")),0)&gt;=DATE(2027,9,1),IFERROR(DATEVALUE(TEXT(Assumptions!B60,"MM/DD/YYYY")),0)&lt;=DATE(2027,9,30)),1,0))&gt;0,0,-('Working Capital'!N6-'Working Capital'!M6))</f>
        <v/>
      </c>
      <c r="O10" s="156">
        <f>IF((IF(AND(Assumptions!B51&lt;&gt;"",IFERROR(DATEVALUE(TEXT(Assumptions!B51,"MM/DD/YYYY")),0)&gt;=DATE(2027,10,1),IFERROR(DATEVALUE(TEXT(Assumptions!B51,"MM/DD/YYYY")),0)&lt;=DATE(2027,10,31)),1,0)+IF(AND(Assumptions!B52&lt;&gt;"",IFERROR(DATEVALUE(TEXT(Assumptions!B52,"MM/DD/YYYY")),0)&gt;=DATE(2027,10,1),IFERROR(DATEVALUE(TEXT(Assumptions!B52,"MM/DD/YYYY")),0)&lt;=DATE(2027,10,31)),1,0)+IF(AND(Assumptions!B53&lt;&gt;"",IFERROR(DATEVALUE(TEXT(Assumptions!B53,"MM/DD/YYYY")),0)&gt;=DATE(2027,10,1),IFERROR(DATEVALUE(TEXT(Assumptions!B53,"MM/DD/YYYY")),0)&lt;=DATE(2027,10,31)),1,0)+IF(AND(Assumptions!B54&lt;&gt;"",IFERROR(DATEVALUE(TEXT(Assumptions!B54,"MM/DD/YYYY")),0)&gt;=DATE(2027,10,1),IFERROR(DATEVALUE(TEXT(Assumptions!B54,"MM/DD/YYYY")),0)&lt;=DATE(2027,10,31)),1,0)+IF(AND(Assumptions!B55&lt;&gt;"",IFERROR(DATEVALUE(TEXT(Assumptions!B55,"MM/DD/YYYY")),0)&gt;=DATE(2027,10,1),IFERROR(DATEVALUE(TEXT(Assumptions!B55,"MM/DD/YYYY")),0)&lt;=DATE(2027,10,31)),1,0)+IF(AND(Assumptions!B56&lt;&gt;"",IFERROR(DATEVALUE(TEXT(Assumptions!B56,"MM/DD/YYYY")),0)&gt;=DATE(2027,10,1),IFERROR(DATEVALUE(TEXT(Assumptions!B56,"MM/DD/YYYY")),0)&lt;=DATE(2027,10,31)),1,0)+IF(AND(Assumptions!B57&lt;&gt;"",IFERROR(DATEVALUE(TEXT(Assumptions!B57,"MM/DD/YYYY")),0)&gt;=DATE(2027,10,1),IFERROR(DATEVALUE(TEXT(Assumptions!B57,"MM/DD/YYYY")),0)&lt;=DATE(2027,10,31)),1,0)+IF(AND(Assumptions!B58&lt;&gt;"",IFERROR(DATEVALUE(TEXT(Assumptions!B58,"MM/DD/YYYY")),0)&gt;=DATE(2027,10,1),IFERROR(DATEVALUE(TEXT(Assumptions!B58,"MM/DD/YYYY")),0)&lt;=DATE(2027,10,31)),1,0)+IF(AND(Assumptions!B59&lt;&gt;"",IFERROR(DATEVALUE(TEXT(Assumptions!B59,"MM/DD/YYYY")),0)&gt;=DATE(2027,10,1),IFERROR(DATEVALUE(TEXT(Assumptions!B59,"MM/DD/YYYY")),0)&lt;=DATE(2027,10,31)),1,0)+IF(AND(Assumptions!B60&lt;&gt;"",IFERROR(DATEVALUE(TEXT(Assumptions!B60,"MM/DD/YYYY")),0)&gt;=DATE(2027,10,1),IFERROR(DATEVALUE(TEXT(Assumptions!B60,"MM/DD/YYYY")),0)&lt;=DATE(2027,10,31)),1,0))&gt;0,0,-('Working Capital'!O6-'Working Capital'!N6))</f>
        <v/>
      </c>
      <c r="P10" s="156">
        <f>IF((IF(AND(Assumptions!B51&lt;&gt;"",IFERROR(DATEVALUE(TEXT(Assumptions!B51,"MM/DD/YYYY")),0)&gt;=DATE(2027,11,1),IFERROR(DATEVALUE(TEXT(Assumptions!B51,"MM/DD/YYYY")),0)&lt;=DATE(2027,11,30)),1,0)+IF(AND(Assumptions!B52&lt;&gt;"",IFERROR(DATEVALUE(TEXT(Assumptions!B52,"MM/DD/YYYY")),0)&gt;=DATE(2027,11,1),IFERROR(DATEVALUE(TEXT(Assumptions!B52,"MM/DD/YYYY")),0)&lt;=DATE(2027,11,30)),1,0)+IF(AND(Assumptions!B53&lt;&gt;"",IFERROR(DATEVALUE(TEXT(Assumptions!B53,"MM/DD/YYYY")),0)&gt;=DATE(2027,11,1),IFERROR(DATEVALUE(TEXT(Assumptions!B53,"MM/DD/YYYY")),0)&lt;=DATE(2027,11,30)),1,0)+IF(AND(Assumptions!B54&lt;&gt;"",IFERROR(DATEVALUE(TEXT(Assumptions!B54,"MM/DD/YYYY")),0)&gt;=DATE(2027,11,1),IFERROR(DATEVALUE(TEXT(Assumptions!B54,"MM/DD/YYYY")),0)&lt;=DATE(2027,11,30)),1,0)+IF(AND(Assumptions!B55&lt;&gt;"",IFERROR(DATEVALUE(TEXT(Assumptions!B55,"MM/DD/YYYY")),0)&gt;=DATE(2027,11,1),IFERROR(DATEVALUE(TEXT(Assumptions!B55,"MM/DD/YYYY")),0)&lt;=DATE(2027,11,30)),1,0)+IF(AND(Assumptions!B56&lt;&gt;"",IFERROR(DATEVALUE(TEXT(Assumptions!B56,"MM/DD/YYYY")),0)&gt;=DATE(2027,11,1),IFERROR(DATEVALUE(TEXT(Assumptions!B56,"MM/DD/YYYY")),0)&lt;=DATE(2027,11,30)),1,0)+IF(AND(Assumptions!B57&lt;&gt;"",IFERROR(DATEVALUE(TEXT(Assumptions!B57,"MM/DD/YYYY")),0)&gt;=DATE(2027,11,1),IFERROR(DATEVALUE(TEXT(Assumptions!B57,"MM/DD/YYYY")),0)&lt;=DATE(2027,11,30)),1,0)+IF(AND(Assumptions!B58&lt;&gt;"",IFERROR(DATEVALUE(TEXT(Assumptions!B58,"MM/DD/YYYY")),0)&gt;=DATE(2027,11,1),IFERROR(DATEVALUE(TEXT(Assumptions!B58,"MM/DD/YYYY")),0)&lt;=DATE(2027,11,30)),1,0)+IF(AND(Assumptions!B59&lt;&gt;"",IFERROR(DATEVALUE(TEXT(Assumptions!B59,"MM/DD/YYYY")),0)&gt;=DATE(2027,11,1),IFERROR(DATEVALUE(TEXT(Assumptions!B59,"MM/DD/YYYY")),0)&lt;=DATE(2027,11,30)),1,0)+IF(AND(Assumptions!B60&lt;&gt;"",IFERROR(DATEVALUE(TEXT(Assumptions!B60,"MM/DD/YYYY")),0)&gt;=DATE(2027,11,1),IFERROR(DATEVALUE(TEXT(Assumptions!B60,"MM/DD/YYYY")),0)&lt;=DATE(2027,11,30)),1,0))&gt;0,0,-('Working Capital'!P6-'Working Capital'!O6))</f>
        <v/>
      </c>
      <c r="Q10" s="156">
        <f>IF((IF(AND(Assumptions!B51&lt;&gt;"",IFERROR(DATEVALUE(TEXT(Assumptions!B51,"MM/DD/YYYY")),0)&gt;=DATE(2027,12,1),IFERROR(DATEVALUE(TEXT(Assumptions!B51,"MM/DD/YYYY")),0)&lt;=DATE(2027,12,31)),1,0)+IF(AND(Assumptions!B52&lt;&gt;"",IFERROR(DATEVALUE(TEXT(Assumptions!B52,"MM/DD/YYYY")),0)&gt;=DATE(2027,12,1),IFERROR(DATEVALUE(TEXT(Assumptions!B52,"MM/DD/YYYY")),0)&lt;=DATE(2027,12,31)),1,0)+IF(AND(Assumptions!B53&lt;&gt;"",IFERROR(DATEVALUE(TEXT(Assumptions!B53,"MM/DD/YYYY")),0)&gt;=DATE(2027,12,1),IFERROR(DATEVALUE(TEXT(Assumptions!B53,"MM/DD/YYYY")),0)&lt;=DATE(2027,12,31)),1,0)+IF(AND(Assumptions!B54&lt;&gt;"",IFERROR(DATEVALUE(TEXT(Assumptions!B54,"MM/DD/YYYY")),0)&gt;=DATE(2027,12,1),IFERROR(DATEVALUE(TEXT(Assumptions!B54,"MM/DD/YYYY")),0)&lt;=DATE(2027,12,31)),1,0)+IF(AND(Assumptions!B55&lt;&gt;"",IFERROR(DATEVALUE(TEXT(Assumptions!B55,"MM/DD/YYYY")),0)&gt;=DATE(2027,12,1),IFERROR(DATEVALUE(TEXT(Assumptions!B55,"MM/DD/YYYY")),0)&lt;=DATE(2027,12,31)),1,0)+IF(AND(Assumptions!B56&lt;&gt;"",IFERROR(DATEVALUE(TEXT(Assumptions!B56,"MM/DD/YYYY")),0)&gt;=DATE(2027,12,1),IFERROR(DATEVALUE(TEXT(Assumptions!B56,"MM/DD/YYYY")),0)&lt;=DATE(2027,12,31)),1,0)+IF(AND(Assumptions!B57&lt;&gt;"",IFERROR(DATEVALUE(TEXT(Assumptions!B57,"MM/DD/YYYY")),0)&gt;=DATE(2027,12,1),IFERROR(DATEVALUE(TEXT(Assumptions!B57,"MM/DD/YYYY")),0)&lt;=DATE(2027,12,31)),1,0)+IF(AND(Assumptions!B58&lt;&gt;"",IFERROR(DATEVALUE(TEXT(Assumptions!B58,"MM/DD/YYYY")),0)&gt;=DATE(2027,12,1),IFERROR(DATEVALUE(TEXT(Assumptions!B58,"MM/DD/YYYY")),0)&lt;=DATE(2027,12,31)),1,0)+IF(AND(Assumptions!B59&lt;&gt;"",IFERROR(DATEVALUE(TEXT(Assumptions!B59,"MM/DD/YYYY")),0)&gt;=DATE(2027,12,1),IFERROR(DATEVALUE(TEXT(Assumptions!B59,"MM/DD/YYYY")),0)&lt;=DATE(2027,12,31)),1,0)+IF(AND(Assumptions!B60&lt;&gt;"",IFERROR(DATEVALUE(TEXT(Assumptions!B60,"MM/DD/YYYY")),0)&gt;=DATE(2027,12,1),IFERROR(DATEVALUE(TEXT(Assumptions!B60,"MM/DD/YYYY")),0)&lt;=DATE(2027,12,31)),1,0))&gt;0,0,-('Working Capital'!Q6-'Working Capital'!P6))</f>
        <v/>
      </c>
      <c r="R10" s="156">
        <f>IF((IF(AND(Assumptions!B51&lt;&gt;"",IFERROR(DATEVALUE(TEXT(Assumptions!B51,"MM/DD/YYYY")),0)&gt;=DATE(2028,1,1),IFERROR(DATEVALUE(TEXT(Assumptions!B51,"MM/DD/YYYY")),0)&lt;=DATE(2028,1,31)),1,0)+IF(AND(Assumptions!B52&lt;&gt;"",IFERROR(DATEVALUE(TEXT(Assumptions!B52,"MM/DD/YYYY")),0)&gt;=DATE(2028,1,1),IFERROR(DATEVALUE(TEXT(Assumptions!B52,"MM/DD/YYYY")),0)&lt;=DATE(2028,1,31)),1,0)+IF(AND(Assumptions!B53&lt;&gt;"",IFERROR(DATEVALUE(TEXT(Assumptions!B53,"MM/DD/YYYY")),0)&gt;=DATE(2028,1,1),IFERROR(DATEVALUE(TEXT(Assumptions!B53,"MM/DD/YYYY")),0)&lt;=DATE(2028,1,31)),1,0)+IF(AND(Assumptions!B54&lt;&gt;"",IFERROR(DATEVALUE(TEXT(Assumptions!B54,"MM/DD/YYYY")),0)&gt;=DATE(2028,1,1),IFERROR(DATEVALUE(TEXT(Assumptions!B54,"MM/DD/YYYY")),0)&lt;=DATE(2028,1,31)),1,0)+IF(AND(Assumptions!B55&lt;&gt;"",IFERROR(DATEVALUE(TEXT(Assumptions!B55,"MM/DD/YYYY")),0)&gt;=DATE(2028,1,1),IFERROR(DATEVALUE(TEXT(Assumptions!B55,"MM/DD/YYYY")),0)&lt;=DATE(2028,1,31)),1,0)+IF(AND(Assumptions!B56&lt;&gt;"",IFERROR(DATEVALUE(TEXT(Assumptions!B56,"MM/DD/YYYY")),0)&gt;=DATE(2028,1,1),IFERROR(DATEVALUE(TEXT(Assumptions!B56,"MM/DD/YYYY")),0)&lt;=DATE(2028,1,31)),1,0)+IF(AND(Assumptions!B57&lt;&gt;"",IFERROR(DATEVALUE(TEXT(Assumptions!B57,"MM/DD/YYYY")),0)&gt;=DATE(2028,1,1),IFERROR(DATEVALUE(TEXT(Assumptions!B57,"MM/DD/YYYY")),0)&lt;=DATE(2028,1,31)),1,0)+IF(AND(Assumptions!B58&lt;&gt;"",IFERROR(DATEVALUE(TEXT(Assumptions!B58,"MM/DD/YYYY")),0)&gt;=DATE(2028,1,1),IFERROR(DATEVALUE(TEXT(Assumptions!B58,"MM/DD/YYYY")),0)&lt;=DATE(2028,1,31)),1,0)+IF(AND(Assumptions!B59&lt;&gt;"",IFERROR(DATEVALUE(TEXT(Assumptions!B59,"MM/DD/YYYY")),0)&gt;=DATE(2028,1,1),IFERROR(DATEVALUE(TEXT(Assumptions!B59,"MM/DD/YYYY")),0)&lt;=DATE(2028,1,31)),1,0)+IF(AND(Assumptions!B60&lt;&gt;"",IFERROR(DATEVALUE(TEXT(Assumptions!B60,"MM/DD/YYYY")),0)&gt;=DATE(2028,1,1),IFERROR(DATEVALUE(TEXT(Assumptions!B60,"MM/DD/YYYY")),0)&lt;=DATE(2028,1,31)),1,0))&gt;0,0,-('Working Capital'!R6-'Working Capital'!Q6))</f>
        <v/>
      </c>
      <c r="S10" s="156">
        <f>IF((IF(AND(Assumptions!B51&lt;&gt;"",IFERROR(DATEVALUE(TEXT(Assumptions!B51,"MM/DD/YYYY")),0)&gt;=DATE(2028,2,1),IFERROR(DATEVALUE(TEXT(Assumptions!B51,"MM/DD/YYYY")),0)&lt;=DATE(2028,2,29)),1,0)+IF(AND(Assumptions!B52&lt;&gt;"",IFERROR(DATEVALUE(TEXT(Assumptions!B52,"MM/DD/YYYY")),0)&gt;=DATE(2028,2,1),IFERROR(DATEVALUE(TEXT(Assumptions!B52,"MM/DD/YYYY")),0)&lt;=DATE(2028,2,29)),1,0)+IF(AND(Assumptions!B53&lt;&gt;"",IFERROR(DATEVALUE(TEXT(Assumptions!B53,"MM/DD/YYYY")),0)&gt;=DATE(2028,2,1),IFERROR(DATEVALUE(TEXT(Assumptions!B53,"MM/DD/YYYY")),0)&lt;=DATE(2028,2,29)),1,0)+IF(AND(Assumptions!B54&lt;&gt;"",IFERROR(DATEVALUE(TEXT(Assumptions!B54,"MM/DD/YYYY")),0)&gt;=DATE(2028,2,1),IFERROR(DATEVALUE(TEXT(Assumptions!B54,"MM/DD/YYYY")),0)&lt;=DATE(2028,2,29)),1,0)+IF(AND(Assumptions!B55&lt;&gt;"",IFERROR(DATEVALUE(TEXT(Assumptions!B55,"MM/DD/YYYY")),0)&gt;=DATE(2028,2,1),IFERROR(DATEVALUE(TEXT(Assumptions!B55,"MM/DD/YYYY")),0)&lt;=DATE(2028,2,29)),1,0)+IF(AND(Assumptions!B56&lt;&gt;"",IFERROR(DATEVALUE(TEXT(Assumptions!B56,"MM/DD/YYYY")),0)&gt;=DATE(2028,2,1),IFERROR(DATEVALUE(TEXT(Assumptions!B56,"MM/DD/YYYY")),0)&lt;=DATE(2028,2,29)),1,0)+IF(AND(Assumptions!B57&lt;&gt;"",IFERROR(DATEVALUE(TEXT(Assumptions!B57,"MM/DD/YYYY")),0)&gt;=DATE(2028,2,1),IFERROR(DATEVALUE(TEXT(Assumptions!B57,"MM/DD/YYYY")),0)&lt;=DATE(2028,2,29)),1,0)+IF(AND(Assumptions!B58&lt;&gt;"",IFERROR(DATEVALUE(TEXT(Assumptions!B58,"MM/DD/YYYY")),0)&gt;=DATE(2028,2,1),IFERROR(DATEVALUE(TEXT(Assumptions!B58,"MM/DD/YYYY")),0)&lt;=DATE(2028,2,29)),1,0)+IF(AND(Assumptions!B59&lt;&gt;"",IFERROR(DATEVALUE(TEXT(Assumptions!B59,"MM/DD/YYYY")),0)&gt;=DATE(2028,2,1),IFERROR(DATEVALUE(TEXT(Assumptions!B59,"MM/DD/YYYY")),0)&lt;=DATE(2028,2,29)),1,0)+IF(AND(Assumptions!B60&lt;&gt;"",IFERROR(DATEVALUE(TEXT(Assumptions!B60,"MM/DD/YYYY")),0)&gt;=DATE(2028,2,1),IFERROR(DATEVALUE(TEXT(Assumptions!B60,"MM/DD/YYYY")),0)&lt;=DATE(2028,2,29)),1,0))&gt;0,0,-('Working Capital'!S6-'Working Capital'!R6))</f>
        <v/>
      </c>
      <c r="T10" s="156">
        <f>IF((IF(AND(Assumptions!B51&lt;&gt;"",IFERROR(DATEVALUE(TEXT(Assumptions!B51,"MM/DD/YYYY")),0)&gt;=DATE(2028,3,1),IFERROR(DATEVALUE(TEXT(Assumptions!B51,"MM/DD/YYYY")),0)&lt;=DATE(2028,3,31)),1,0)+IF(AND(Assumptions!B52&lt;&gt;"",IFERROR(DATEVALUE(TEXT(Assumptions!B52,"MM/DD/YYYY")),0)&gt;=DATE(2028,3,1),IFERROR(DATEVALUE(TEXT(Assumptions!B52,"MM/DD/YYYY")),0)&lt;=DATE(2028,3,31)),1,0)+IF(AND(Assumptions!B53&lt;&gt;"",IFERROR(DATEVALUE(TEXT(Assumptions!B53,"MM/DD/YYYY")),0)&gt;=DATE(2028,3,1),IFERROR(DATEVALUE(TEXT(Assumptions!B53,"MM/DD/YYYY")),0)&lt;=DATE(2028,3,31)),1,0)+IF(AND(Assumptions!B54&lt;&gt;"",IFERROR(DATEVALUE(TEXT(Assumptions!B54,"MM/DD/YYYY")),0)&gt;=DATE(2028,3,1),IFERROR(DATEVALUE(TEXT(Assumptions!B54,"MM/DD/YYYY")),0)&lt;=DATE(2028,3,31)),1,0)+IF(AND(Assumptions!B55&lt;&gt;"",IFERROR(DATEVALUE(TEXT(Assumptions!B55,"MM/DD/YYYY")),0)&gt;=DATE(2028,3,1),IFERROR(DATEVALUE(TEXT(Assumptions!B55,"MM/DD/YYYY")),0)&lt;=DATE(2028,3,31)),1,0)+IF(AND(Assumptions!B56&lt;&gt;"",IFERROR(DATEVALUE(TEXT(Assumptions!B56,"MM/DD/YYYY")),0)&gt;=DATE(2028,3,1),IFERROR(DATEVALUE(TEXT(Assumptions!B56,"MM/DD/YYYY")),0)&lt;=DATE(2028,3,31)),1,0)+IF(AND(Assumptions!B57&lt;&gt;"",IFERROR(DATEVALUE(TEXT(Assumptions!B57,"MM/DD/YYYY")),0)&gt;=DATE(2028,3,1),IFERROR(DATEVALUE(TEXT(Assumptions!B57,"MM/DD/YYYY")),0)&lt;=DATE(2028,3,31)),1,0)+IF(AND(Assumptions!B58&lt;&gt;"",IFERROR(DATEVALUE(TEXT(Assumptions!B58,"MM/DD/YYYY")),0)&gt;=DATE(2028,3,1),IFERROR(DATEVALUE(TEXT(Assumptions!B58,"MM/DD/YYYY")),0)&lt;=DATE(2028,3,31)),1,0)+IF(AND(Assumptions!B59&lt;&gt;"",IFERROR(DATEVALUE(TEXT(Assumptions!B59,"MM/DD/YYYY")),0)&gt;=DATE(2028,3,1),IFERROR(DATEVALUE(TEXT(Assumptions!B59,"MM/DD/YYYY")),0)&lt;=DATE(2028,3,31)),1,0)+IF(AND(Assumptions!B60&lt;&gt;"",IFERROR(DATEVALUE(TEXT(Assumptions!B60,"MM/DD/YYYY")),0)&gt;=DATE(2028,3,1),IFERROR(DATEVALUE(TEXT(Assumptions!B60,"MM/DD/YYYY")),0)&lt;=DATE(2028,3,31)),1,0))&gt;0,0,-('Working Capital'!T6-'Working Capital'!S6))</f>
        <v/>
      </c>
      <c r="U10" s="156">
        <f>IF((IF(AND(Assumptions!B51&lt;&gt;"",IFERROR(DATEVALUE(TEXT(Assumptions!B51,"MM/DD/YYYY")),0)&gt;=DATE(2028,4,1),IFERROR(DATEVALUE(TEXT(Assumptions!B51,"MM/DD/YYYY")),0)&lt;=DATE(2028,4,30)),1,0)+IF(AND(Assumptions!B52&lt;&gt;"",IFERROR(DATEVALUE(TEXT(Assumptions!B52,"MM/DD/YYYY")),0)&gt;=DATE(2028,4,1),IFERROR(DATEVALUE(TEXT(Assumptions!B52,"MM/DD/YYYY")),0)&lt;=DATE(2028,4,30)),1,0)+IF(AND(Assumptions!B53&lt;&gt;"",IFERROR(DATEVALUE(TEXT(Assumptions!B53,"MM/DD/YYYY")),0)&gt;=DATE(2028,4,1),IFERROR(DATEVALUE(TEXT(Assumptions!B53,"MM/DD/YYYY")),0)&lt;=DATE(2028,4,30)),1,0)+IF(AND(Assumptions!B54&lt;&gt;"",IFERROR(DATEVALUE(TEXT(Assumptions!B54,"MM/DD/YYYY")),0)&gt;=DATE(2028,4,1),IFERROR(DATEVALUE(TEXT(Assumptions!B54,"MM/DD/YYYY")),0)&lt;=DATE(2028,4,30)),1,0)+IF(AND(Assumptions!B55&lt;&gt;"",IFERROR(DATEVALUE(TEXT(Assumptions!B55,"MM/DD/YYYY")),0)&gt;=DATE(2028,4,1),IFERROR(DATEVALUE(TEXT(Assumptions!B55,"MM/DD/YYYY")),0)&lt;=DATE(2028,4,30)),1,0)+IF(AND(Assumptions!B56&lt;&gt;"",IFERROR(DATEVALUE(TEXT(Assumptions!B56,"MM/DD/YYYY")),0)&gt;=DATE(2028,4,1),IFERROR(DATEVALUE(TEXT(Assumptions!B56,"MM/DD/YYYY")),0)&lt;=DATE(2028,4,30)),1,0)+IF(AND(Assumptions!B57&lt;&gt;"",IFERROR(DATEVALUE(TEXT(Assumptions!B57,"MM/DD/YYYY")),0)&gt;=DATE(2028,4,1),IFERROR(DATEVALUE(TEXT(Assumptions!B57,"MM/DD/YYYY")),0)&lt;=DATE(2028,4,30)),1,0)+IF(AND(Assumptions!B58&lt;&gt;"",IFERROR(DATEVALUE(TEXT(Assumptions!B58,"MM/DD/YYYY")),0)&gt;=DATE(2028,4,1),IFERROR(DATEVALUE(TEXT(Assumptions!B58,"MM/DD/YYYY")),0)&lt;=DATE(2028,4,30)),1,0)+IF(AND(Assumptions!B59&lt;&gt;"",IFERROR(DATEVALUE(TEXT(Assumptions!B59,"MM/DD/YYYY")),0)&gt;=DATE(2028,4,1),IFERROR(DATEVALUE(TEXT(Assumptions!B59,"MM/DD/YYYY")),0)&lt;=DATE(2028,4,30)),1,0)+IF(AND(Assumptions!B60&lt;&gt;"",IFERROR(DATEVALUE(TEXT(Assumptions!B60,"MM/DD/YYYY")),0)&gt;=DATE(2028,4,1),IFERROR(DATEVALUE(TEXT(Assumptions!B60,"MM/DD/YYYY")),0)&lt;=DATE(2028,4,30)),1,0))&gt;0,0,-('Working Capital'!U6-'Working Capital'!T6))</f>
        <v/>
      </c>
      <c r="V10" s="156">
        <f>IF((IF(AND(Assumptions!B51&lt;&gt;"",IFERROR(DATEVALUE(TEXT(Assumptions!B51,"MM/DD/YYYY")),0)&gt;=DATE(2028,5,1),IFERROR(DATEVALUE(TEXT(Assumptions!B51,"MM/DD/YYYY")),0)&lt;=DATE(2028,5,31)),1,0)+IF(AND(Assumptions!B52&lt;&gt;"",IFERROR(DATEVALUE(TEXT(Assumptions!B52,"MM/DD/YYYY")),0)&gt;=DATE(2028,5,1),IFERROR(DATEVALUE(TEXT(Assumptions!B52,"MM/DD/YYYY")),0)&lt;=DATE(2028,5,31)),1,0)+IF(AND(Assumptions!B53&lt;&gt;"",IFERROR(DATEVALUE(TEXT(Assumptions!B53,"MM/DD/YYYY")),0)&gt;=DATE(2028,5,1),IFERROR(DATEVALUE(TEXT(Assumptions!B53,"MM/DD/YYYY")),0)&lt;=DATE(2028,5,31)),1,0)+IF(AND(Assumptions!B54&lt;&gt;"",IFERROR(DATEVALUE(TEXT(Assumptions!B54,"MM/DD/YYYY")),0)&gt;=DATE(2028,5,1),IFERROR(DATEVALUE(TEXT(Assumptions!B54,"MM/DD/YYYY")),0)&lt;=DATE(2028,5,31)),1,0)+IF(AND(Assumptions!B55&lt;&gt;"",IFERROR(DATEVALUE(TEXT(Assumptions!B55,"MM/DD/YYYY")),0)&gt;=DATE(2028,5,1),IFERROR(DATEVALUE(TEXT(Assumptions!B55,"MM/DD/YYYY")),0)&lt;=DATE(2028,5,31)),1,0)+IF(AND(Assumptions!B56&lt;&gt;"",IFERROR(DATEVALUE(TEXT(Assumptions!B56,"MM/DD/YYYY")),0)&gt;=DATE(2028,5,1),IFERROR(DATEVALUE(TEXT(Assumptions!B56,"MM/DD/YYYY")),0)&lt;=DATE(2028,5,31)),1,0)+IF(AND(Assumptions!B57&lt;&gt;"",IFERROR(DATEVALUE(TEXT(Assumptions!B57,"MM/DD/YYYY")),0)&gt;=DATE(2028,5,1),IFERROR(DATEVALUE(TEXT(Assumptions!B57,"MM/DD/YYYY")),0)&lt;=DATE(2028,5,31)),1,0)+IF(AND(Assumptions!B58&lt;&gt;"",IFERROR(DATEVALUE(TEXT(Assumptions!B58,"MM/DD/YYYY")),0)&gt;=DATE(2028,5,1),IFERROR(DATEVALUE(TEXT(Assumptions!B58,"MM/DD/YYYY")),0)&lt;=DATE(2028,5,31)),1,0)+IF(AND(Assumptions!B59&lt;&gt;"",IFERROR(DATEVALUE(TEXT(Assumptions!B59,"MM/DD/YYYY")),0)&gt;=DATE(2028,5,1),IFERROR(DATEVALUE(TEXT(Assumptions!B59,"MM/DD/YYYY")),0)&lt;=DATE(2028,5,31)),1,0)+IF(AND(Assumptions!B60&lt;&gt;"",IFERROR(DATEVALUE(TEXT(Assumptions!B60,"MM/DD/YYYY")),0)&gt;=DATE(2028,5,1),IFERROR(DATEVALUE(TEXT(Assumptions!B60,"MM/DD/YYYY")),0)&lt;=DATE(2028,5,31)),1,0))&gt;0,0,-('Working Capital'!V6-'Working Capital'!U6))</f>
        <v/>
      </c>
      <c r="W10" s="156">
        <f>IF((IF(AND(Assumptions!B51&lt;&gt;"",IFERROR(DATEVALUE(TEXT(Assumptions!B51,"MM/DD/YYYY")),0)&gt;=DATE(2028,6,1),IFERROR(DATEVALUE(TEXT(Assumptions!B51,"MM/DD/YYYY")),0)&lt;=DATE(2028,6,30)),1,0)+IF(AND(Assumptions!B52&lt;&gt;"",IFERROR(DATEVALUE(TEXT(Assumptions!B52,"MM/DD/YYYY")),0)&gt;=DATE(2028,6,1),IFERROR(DATEVALUE(TEXT(Assumptions!B52,"MM/DD/YYYY")),0)&lt;=DATE(2028,6,30)),1,0)+IF(AND(Assumptions!B53&lt;&gt;"",IFERROR(DATEVALUE(TEXT(Assumptions!B53,"MM/DD/YYYY")),0)&gt;=DATE(2028,6,1),IFERROR(DATEVALUE(TEXT(Assumptions!B53,"MM/DD/YYYY")),0)&lt;=DATE(2028,6,30)),1,0)+IF(AND(Assumptions!B54&lt;&gt;"",IFERROR(DATEVALUE(TEXT(Assumptions!B54,"MM/DD/YYYY")),0)&gt;=DATE(2028,6,1),IFERROR(DATEVALUE(TEXT(Assumptions!B54,"MM/DD/YYYY")),0)&lt;=DATE(2028,6,30)),1,0)+IF(AND(Assumptions!B55&lt;&gt;"",IFERROR(DATEVALUE(TEXT(Assumptions!B55,"MM/DD/YYYY")),0)&gt;=DATE(2028,6,1),IFERROR(DATEVALUE(TEXT(Assumptions!B55,"MM/DD/YYYY")),0)&lt;=DATE(2028,6,30)),1,0)+IF(AND(Assumptions!B56&lt;&gt;"",IFERROR(DATEVALUE(TEXT(Assumptions!B56,"MM/DD/YYYY")),0)&gt;=DATE(2028,6,1),IFERROR(DATEVALUE(TEXT(Assumptions!B56,"MM/DD/YYYY")),0)&lt;=DATE(2028,6,30)),1,0)+IF(AND(Assumptions!B57&lt;&gt;"",IFERROR(DATEVALUE(TEXT(Assumptions!B57,"MM/DD/YYYY")),0)&gt;=DATE(2028,6,1),IFERROR(DATEVALUE(TEXT(Assumptions!B57,"MM/DD/YYYY")),0)&lt;=DATE(2028,6,30)),1,0)+IF(AND(Assumptions!B58&lt;&gt;"",IFERROR(DATEVALUE(TEXT(Assumptions!B58,"MM/DD/YYYY")),0)&gt;=DATE(2028,6,1),IFERROR(DATEVALUE(TEXT(Assumptions!B58,"MM/DD/YYYY")),0)&lt;=DATE(2028,6,30)),1,0)+IF(AND(Assumptions!B59&lt;&gt;"",IFERROR(DATEVALUE(TEXT(Assumptions!B59,"MM/DD/YYYY")),0)&gt;=DATE(2028,6,1),IFERROR(DATEVALUE(TEXT(Assumptions!B59,"MM/DD/YYYY")),0)&lt;=DATE(2028,6,30)),1,0)+IF(AND(Assumptions!B60&lt;&gt;"",IFERROR(DATEVALUE(TEXT(Assumptions!B60,"MM/DD/YYYY")),0)&gt;=DATE(2028,6,1),IFERROR(DATEVALUE(TEXT(Assumptions!B60,"MM/DD/YYYY")),0)&lt;=DATE(2028,6,30)),1,0))&gt;0,0,-('Working Capital'!W6-'Working Capital'!V6))</f>
        <v/>
      </c>
      <c r="X10" s="156">
        <f>IF((IF(AND(Assumptions!B51&lt;&gt;"",IFERROR(DATEVALUE(TEXT(Assumptions!B51,"MM/DD/YYYY")),0)&gt;=DATE(2028,7,1),IFERROR(DATEVALUE(TEXT(Assumptions!B51,"MM/DD/YYYY")),0)&lt;=DATE(2028,7,31)),1,0)+IF(AND(Assumptions!B52&lt;&gt;"",IFERROR(DATEVALUE(TEXT(Assumptions!B52,"MM/DD/YYYY")),0)&gt;=DATE(2028,7,1),IFERROR(DATEVALUE(TEXT(Assumptions!B52,"MM/DD/YYYY")),0)&lt;=DATE(2028,7,31)),1,0)+IF(AND(Assumptions!B53&lt;&gt;"",IFERROR(DATEVALUE(TEXT(Assumptions!B53,"MM/DD/YYYY")),0)&gt;=DATE(2028,7,1),IFERROR(DATEVALUE(TEXT(Assumptions!B53,"MM/DD/YYYY")),0)&lt;=DATE(2028,7,31)),1,0)+IF(AND(Assumptions!B54&lt;&gt;"",IFERROR(DATEVALUE(TEXT(Assumptions!B54,"MM/DD/YYYY")),0)&gt;=DATE(2028,7,1),IFERROR(DATEVALUE(TEXT(Assumptions!B54,"MM/DD/YYYY")),0)&lt;=DATE(2028,7,31)),1,0)+IF(AND(Assumptions!B55&lt;&gt;"",IFERROR(DATEVALUE(TEXT(Assumptions!B55,"MM/DD/YYYY")),0)&gt;=DATE(2028,7,1),IFERROR(DATEVALUE(TEXT(Assumptions!B55,"MM/DD/YYYY")),0)&lt;=DATE(2028,7,31)),1,0)+IF(AND(Assumptions!B56&lt;&gt;"",IFERROR(DATEVALUE(TEXT(Assumptions!B56,"MM/DD/YYYY")),0)&gt;=DATE(2028,7,1),IFERROR(DATEVALUE(TEXT(Assumptions!B56,"MM/DD/YYYY")),0)&lt;=DATE(2028,7,31)),1,0)+IF(AND(Assumptions!B57&lt;&gt;"",IFERROR(DATEVALUE(TEXT(Assumptions!B57,"MM/DD/YYYY")),0)&gt;=DATE(2028,7,1),IFERROR(DATEVALUE(TEXT(Assumptions!B57,"MM/DD/YYYY")),0)&lt;=DATE(2028,7,31)),1,0)+IF(AND(Assumptions!B58&lt;&gt;"",IFERROR(DATEVALUE(TEXT(Assumptions!B58,"MM/DD/YYYY")),0)&gt;=DATE(2028,7,1),IFERROR(DATEVALUE(TEXT(Assumptions!B58,"MM/DD/YYYY")),0)&lt;=DATE(2028,7,31)),1,0)+IF(AND(Assumptions!B59&lt;&gt;"",IFERROR(DATEVALUE(TEXT(Assumptions!B59,"MM/DD/YYYY")),0)&gt;=DATE(2028,7,1),IFERROR(DATEVALUE(TEXT(Assumptions!B59,"MM/DD/YYYY")),0)&lt;=DATE(2028,7,31)),1,0)+IF(AND(Assumptions!B60&lt;&gt;"",IFERROR(DATEVALUE(TEXT(Assumptions!B60,"MM/DD/YYYY")),0)&gt;=DATE(2028,7,1),IFERROR(DATEVALUE(TEXT(Assumptions!B60,"MM/DD/YYYY")),0)&lt;=DATE(2028,7,31)),1,0))&gt;0,0,-('Working Capital'!X6-'Working Capital'!W6))</f>
        <v/>
      </c>
      <c r="Y10" s="156">
        <f>IF((IF(AND(Assumptions!B51&lt;&gt;"",IFERROR(DATEVALUE(TEXT(Assumptions!B51,"MM/DD/YYYY")),0)&gt;=DATE(2028,8,1),IFERROR(DATEVALUE(TEXT(Assumptions!B51,"MM/DD/YYYY")),0)&lt;=DATE(2028,8,31)),1,0)+IF(AND(Assumptions!B52&lt;&gt;"",IFERROR(DATEVALUE(TEXT(Assumptions!B52,"MM/DD/YYYY")),0)&gt;=DATE(2028,8,1),IFERROR(DATEVALUE(TEXT(Assumptions!B52,"MM/DD/YYYY")),0)&lt;=DATE(2028,8,31)),1,0)+IF(AND(Assumptions!B53&lt;&gt;"",IFERROR(DATEVALUE(TEXT(Assumptions!B53,"MM/DD/YYYY")),0)&gt;=DATE(2028,8,1),IFERROR(DATEVALUE(TEXT(Assumptions!B53,"MM/DD/YYYY")),0)&lt;=DATE(2028,8,31)),1,0)+IF(AND(Assumptions!B54&lt;&gt;"",IFERROR(DATEVALUE(TEXT(Assumptions!B54,"MM/DD/YYYY")),0)&gt;=DATE(2028,8,1),IFERROR(DATEVALUE(TEXT(Assumptions!B54,"MM/DD/YYYY")),0)&lt;=DATE(2028,8,31)),1,0)+IF(AND(Assumptions!B55&lt;&gt;"",IFERROR(DATEVALUE(TEXT(Assumptions!B55,"MM/DD/YYYY")),0)&gt;=DATE(2028,8,1),IFERROR(DATEVALUE(TEXT(Assumptions!B55,"MM/DD/YYYY")),0)&lt;=DATE(2028,8,31)),1,0)+IF(AND(Assumptions!B56&lt;&gt;"",IFERROR(DATEVALUE(TEXT(Assumptions!B56,"MM/DD/YYYY")),0)&gt;=DATE(2028,8,1),IFERROR(DATEVALUE(TEXT(Assumptions!B56,"MM/DD/YYYY")),0)&lt;=DATE(2028,8,31)),1,0)+IF(AND(Assumptions!B57&lt;&gt;"",IFERROR(DATEVALUE(TEXT(Assumptions!B57,"MM/DD/YYYY")),0)&gt;=DATE(2028,8,1),IFERROR(DATEVALUE(TEXT(Assumptions!B57,"MM/DD/YYYY")),0)&lt;=DATE(2028,8,31)),1,0)+IF(AND(Assumptions!B58&lt;&gt;"",IFERROR(DATEVALUE(TEXT(Assumptions!B58,"MM/DD/YYYY")),0)&gt;=DATE(2028,8,1),IFERROR(DATEVALUE(TEXT(Assumptions!B58,"MM/DD/YYYY")),0)&lt;=DATE(2028,8,31)),1,0)+IF(AND(Assumptions!B59&lt;&gt;"",IFERROR(DATEVALUE(TEXT(Assumptions!B59,"MM/DD/YYYY")),0)&gt;=DATE(2028,8,1),IFERROR(DATEVALUE(TEXT(Assumptions!B59,"MM/DD/YYYY")),0)&lt;=DATE(2028,8,31)),1,0)+IF(AND(Assumptions!B60&lt;&gt;"",IFERROR(DATEVALUE(TEXT(Assumptions!B60,"MM/DD/YYYY")),0)&gt;=DATE(2028,8,1),IFERROR(DATEVALUE(TEXT(Assumptions!B60,"MM/DD/YYYY")),0)&lt;=DATE(2028,8,31)),1,0))&gt;0,0,-('Working Capital'!Y6-'Working Capital'!X6))</f>
        <v/>
      </c>
      <c r="Z10" s="156">
        <f>IF((IF(AND(Assumptions!B51&lt;&gt;"",IFERROR(DATEVALUE(TEXT(Assumptions!B51,"MM/DD/YYYY")),0)&gt;=DATE(2028,9,1),IFERROR(DATEVALUE(TEXT(Assumptions!B51,"MM/DD/YYYY")),0)&lt;=DATE(2028,9,30)),1,0)+IF(AND(Assumptions!B52&lt;&gt;"",IFERROR(DATEVALUE(TEXT(Assumptions!B52,"MM/DD/YYYY")),0)&gt;=DATE(2028,9,1),IFERROR(DATEVALUE(TEXT(Assumptions!B52,"MM/DD/YYYY")),0)&lt;=DATE(2028,9,30)),1,0)+IF(AND(Assumptions!B53&lt;&gt;"",IFERROR(DATEVALUE(TEXT(Assumptions!B53,"MM/DD/YYYY")),0)&gt;=DATE(2028,9,1),IFERROR(DATEVALUE(TEXT(Assumptions!B53,"MM/DD/YYYY")),0)&lt;=DATE(2028,9,30)),1,0)+IF(AND(Assumptions!B54&lt;&gt;"",IFERROR(DATEVALUE(TEXT(Assumptions!B54,"MM/DD/YYYY")),0)&gt;=DATE(2028,9,1),IFERROR(DATEVALUE(TEXT(Assumptions!B54,"MM/DD/YYYY")),0)&lt;=DATE(2028,9,30)),1,0)+IF(AND(Assumptions!B55&lt;&gt;"",IFERROR(DATEVALUE(TEXT(Assumptions!B55,"MM/DD/YYYY")),0)&gt;=DATE(2028,9,1),IFERROR(DATEVALUE(TEXT(Assumptions!B55,"MM/DD/YYYY")),0)&lt;=DATE(2028,9,30)),1,0)+IF(AND(Assumptions!B56&lt;&gt;"",IFERROR(DATEVALUE(TEXT(Assumptions!B56,"MM/DD/YYYY")),0)&gt;=DATE(2028,9,1),IFERROR(DATEVALUE(TEXT(Assumptions!B56,"MM/DD/YYYY")),0)&lt;=DATE(2028,9,30)),1,0)+IF(AND(Assumptions!B57&lt;&gt;"",IFERROR(DATEVALUE(TEXT(Assumptions!B57,"MM/DD/YYYY")),0)&gt;=DATE(2028,9,1),IFERROR(DATEVALUE(TEXT(Assumptions!B57,"MM/DD/YYYY")),0)&lt;=DATE(2028,9,30)),1,0)+IF(AND(Assumptions!B58&lt;&gt;"",IFERROR(DATEVALUE(TEXT(Assumptions!B58,"MM/DD/YYYY")),0)&gt;=DATE(2028,9,1),IFERROR(DATEVALUE(TEXT(Assumptions!B58,"MM/DD/YYYY")),0)&lt;=DATE(2028,9,30)),1,0)+IF(AND(Assumptions!B59&lt;&gt;"",IFERROR(DATEVALUE(TEXT(Assumptions!B59,"MM/DD/YYYY")),0)&gt;=DATE(2028,9,1),IFERROR(DATEVALUE(TEXT(Assumptions!B59,"MM/DD/YYYY")),0)&lt;=DATE(2028,9,30)),1,0)+IF(AND(Assumptions!B60&lt;&gt;"",IFERROR(DATEVALUE(TEXT(Assumptions!B60,"MM/DD/YYYY")),0)&gt;=DATE(2028,9,1),IFERROR(DATEVALUE(TEXT(Assumptions!B60,"MM/DD/YYYY")),0)&lt;=DATE(2028,9,30)),1,0))&gt;0,0,-('Working Capital'!Z6-'Working Capital'!Y6))</f>
        <v/>
      </c>
      <c r="AA10" s="156">
        <f>IF((IF(AND(Assumptions!B51&lt;&gt;"",IFERROR(DATEVALUE(TEXT(Assumptions!B51,"MM/DD/YYYY")),0)&gt;=DATE(2028,10,1),IFERROR(DATEVALUE(TEXT(Assumptions!B51,"MM/DD/YYYY")),0)&lt;=DATE(2028,10,31)),1,0)+IF(AND(Assumptions!B52&lt;&gt;"",IFERROR(DATEVALUE(TEXT(Assumptions!B52,"MM/DD/YYYY")),0)&gt;=DATE(2028,10,1),IFERROR(DATEVALUE(TEXT(Assumptions!B52,"MM/DD/YYYY")),0)&lt;=DATE(2028,10,31)),1,0)+IF(AND(Assumptions!B53&lt;&gt;"",IFERROR(DATEVALUE(TEXT(Assumptions!B53,"MM/DD/YYYY")),0)&gt;=DATE(2028,10,1),IFERROR(DATEVALUE(TEXT(Assumptions!B53,"MM/DD/YYYY")),0)&lt;=DATE(2028,10,31)),1,0)+IF(AND(Assumptions!B54&lt;&gt;"",IFERROR(DATEVALUE(TEXT(Assumptions!B54,"MM/DD/YYYY")),0)&gt;=DATE(2028,10,1),IFERROR(DATEVALUE(TEXT(Assumptions!B54,"MM/DD/YYYY")),0)&lt;=DATE(2028,10,31)),1,0)+IF(AND(Assumptions!B55&lt;&gt;"",IFERROR(DATEVALUE(TEXT(Assumptions!B55,"MM/DD/YYYY")),0)&gt;=DATE(2028,10,1),IFERROR(DATEVALUE(TEXT(Assumptions!B55,"MM/DD/YYYY")),0)&lt;=DATE(2028,10,31)),1,0)+IF(AND(Assumptions!B56&lt;&gt;"",IFERROR(DATEVALUE(TEXT(Assumptions!B56,"MM/DD/YYYY")),0)&gt;=DATE(2028,10,1),IFERROR(DATEVALUE(TEXT(Assumptions!B56,"MM/DD/YYYY")),0)&lt;=DATE(2028,10,31)),1,0)+IF(AND(Assumptions!B57&lt;&gt;"",IFERROR(DATEVALUE(TEXT(Assumptions!B57,"MM/DD/YYYY")),0)&gt;=DATE(2028,10,1),IFERROR(DATEVALUE(TEXT(Assumptions!B57,"MM/DD/YYYY")),0)&lt;=DATE(2028,10,31)),1,0)+IF(AND(Assumptions!B58&lt;&gt;"",IFERROR(DATEVALUE(TEXT(Assumptions!B58,"MM/DD/YYYY")),0)&gt;=DATE(2028,10,1),IFERROR(DATEVALUE(TEXT(Assumptions!B58,"MM/DD/YYYY")),0)&lt;=DATE(2028,10,31)),1,0)+IF(AND(Assumptions!B59&lt;&gt;"",IFERROR(DATEVALUE(TEXT(Assumptions!B59,"MM/DD/YYYY")),0)&gt;=DATE(2028,10,1),IFERROR(DATEVALUE(TEXT(Assumptions!B59,"MM/DD/YYYY")),0)&lt;=DATE(2028,10,31)),1,0)+IF(AND(Assumptions!B60&lt;&gt;"",IFERROR(DATEVALUE(TEXT(Assumptions!B60,"MM/DD/YYYY")),0)&gt;=DATE(2028,10,1),IFERROR(DATEVALUE(TEXT(Assumptions!B60,"MM/DD/YYYY")),0)&lt;=DATE(2028,10,31)),1,0))&gt;0,0,-('Working Capital'!AA6-'Working Capital'!Z6))</f>
        <v/>
      </c>
      <c r="AB10" s="156">
        <f>IF((IF(AND(Assumptions!B51&lt;&gt;"",IFERROR(DATEVALUE(TEXT(Assumptions!B51,"MM/DD/YYYY")),0)&gt;=DATE(2028,11,1),IFERROR(DATEVALUE(TEXT(Assumptions!B51,"MM/DD/YYYY")),0)&lt;=DATE(2028,11,30)),1,0)+IF(AND(Assumptions!B52&lt;&gt;"",IFERROR(DATEVALUE(TEXT(Assumptions!B52,"MM/DD/YYYY")),0)&gt;=DATE(2028,11,1),IFERROR(DATEVALUE(TEXT(Assumptions!B52,"MM/DD/YYYY")),0)&lt;=DATE(2028,11,30)),1,0)+IF(AND(Assumptions!B53&lt;&gt;"",IFERROR(DATEVALUE(TEXT(Assumptions!B53,"MM/DD/YYYY")),0)&gt;=DATE(2028,11,1),IFERROR(DATEVALUE(TEXT(Assumptions!B53,"MM/DD/YYYY")),0)&lt;=DATE(2028,11,30)),1,0)+IF(AND(Assumptions!B54&lt;&gt;"",IFERROR(DATEVALUE(TEXT(Assumptions!B54,"MM/DD/YYYY")),0)&gt;=DATE(2028,11,1),IFERROR(DATEVALUE(TEXT(Assumptions!B54,"MM/DD/YYYY")),0)&lt;=DATE(2028,11,30)),1,0)+IF(AND(Assumptions!B55&lt;&gt;"",IFERROR(DATEVALUE(TEXT(Assumptions!B55,"MM/DD/YYYY")),0)&gt;=DATE(2028,11,1),IFERROR(DATEVALUE(TEXT(Assumptions!B55,"MM/DD/YYYY")),0)&lt;=DATE(2028,11,30)),1,0)+IF(AND(Assumptions!B56&lt;&gt;"",IFERROR(DATEVALUE(TEXT(Assumptions!B56,"MM/DD/YYYY")),0)&gt;=DATE(2028,11,1),IFERROR(DATEVALUE(TEXT(Assumptions!B56,"MM/DD/YYYY")),0)&lt;=DATE(2028,11,30)),1,0)+IF(AND(Assumptions!B57&lt;&gt;"",IFERROR(DATEVALUE(TEXT(Assumptions!B57,"MM/DD/YYYY")),0)&gt;=DATE(2028,11,1),IFERROR(DATEVALUE(TEXT(Assumptions!B57,"MM/DD/YYYY")),0)&lt;=DATE(2028,11,30)),1,0)+IF(AND(Assumptions!B58&lt;&gt;"",IFERROR(DATEVALUE(TEXT(Assumptions!B58,"MM/DD/YYYY")),0)&gt;=DATE(2028,11,1),IFERROR(DATEVALUE(TEXT(Assumptions!B58,"MM/DD/YYYY")),0)&lt;=DATE(2028,11,30)),1,0)+IF(AND(Assumptions!B59&lt;&gt;"",IFERROR(DATEVALUE(TEXT(Assumptions!B59,"MM/DD/YYYY")),0)&gt;=DATE(2028,11,1),IFERROR(DATEVALUE(TEXT(Assumptions!B59,"MM/DD/YYYY")),0)&lt;=DATE(2028,11,30)),1,0)+IF(AND(Assumptions!B60&lt;&gt;"",IFERROR(DATEVALUE(TEXT(Assumptions!B60,"MM/DD/YYYY")),0)&gt;=DATE(2028,11,1),IFERROR(DATEVALUE(TEXT(Assumptions!B60,"MM/DD/YYYY")),0)&lt;=DATE(2028,11,30)),1,0))&gt;0,0,-('Working Capital'!AB6-'Working Capital'!AA6))</f>
        <v/>
      </c>
      <c r="AC10" s="156">
        <f>IF((IF(AND(Assumptions!B51&lt;&gt;"",IFERROR(DATEVALUE(TEXT(Assumptions!B51,"MM/DD/YYYY")),0)&gt;=DATE(2028,12,1),IFERROR(DATEVALUE(TEXT(Assumptions!B51,"MM/DD/YYYY")),0)&lt;=DATE(2028,12,31)),1,0)+IF(AND(Assumptions!B52&lt;&gt;"",IFERROR(DATEVALUE(TEXT(Assumptions!B52,"MM/DD/YYYY")),0)&gt;=DATE(2028,12,1),IFERROR(DATEVALUE(TEXT(Assumptions!B52,"MM/DD/YYYY")),0)&lt;=DATE(2028,12,31)),1,0)+IF(AND(Assumptions!B53&lt;&gt;"",IFERROR(DATEVALUE(TEXT(Assumptions!B53,"MM/DD/YYYY")),0)&gt;=DATE(2028,12,1),IFERROR(DATEVALUE(TEXT(Assumptions!B53,"MM/DD/YYYY")),0)&lt;=DATE(2028,12,31)),1,0)+IF(AND(Assumptions!B54&lt;&gt;"",IFERROR(DATEVALUE(TEXT(Assumptions!B54,"MM/DD/YYYY")),0)&gt;=DATE(2028,12,1),IFERROR(DATEVALUE(TEXT(Assumptions!B54,"MM/DD/YYYY")),0)&lt;=DATE(2028,12,31)),1,0)+IF(AND(Assumptions!B55&lt;&gt;"",IFERROR(DATEVALUE(TEXT(Assumptions!B55,"MM/DD/YYYY")),0)&gt;=DATE(2028,12,1),IFERROR(DATEVALUE(TEXT(Assumptions!B55,"MM/DD/YYYY")),0)&lt;=DATE(2028,12,31)),1,0)+IF(AND(Assumptions!B56&lt;&gt;"",IFERROR(DATEVALUE(TEXT(Assumptions!B56,"MM/DD/YYYY")),0)&gt;=DATE(2028,12,1),IFERROR(DATEVALUE(TEXT(Assumptions!B56,"MM/DD/YYYY")),0)&lt;=DATE(2028,12,31)),1,0)+IF(AND(Assumptions!B57&lt;&gt;"",IFERROR(DATEVALUE(TEXT(Assumptions!B57,"MM/DD/YYYY")),0)&gt;=DATE(2028,12,1),IFERROR(DATEVALUE(TEXT(Assumptions!B57,"MM/DD/YYYY")),0)&lt;=DATE(2028,12,31)),1,0)+IF(AND(Assumptions!B58&lt;&gt;"",IFERROR(DATEVALUE(TEXT(Assumptions!B58,"MM/DD/YYYY")),0)&gt;=DATE(2028,12,1),IFERROR(DATEVALUE(TEXT(Assumptions!B58,"MM/DD/YYYY")),0)&lt;=DATE(2028,12,31)),1,0)+IF(AND(Assumptions!B59&lt;&gt;"",IFERROR(DATEVALUE(TEXT(Assumptions!B59,"MM/DD/YYYY")),0)&gt;=DATE(2028,12,1),IFERROR(DATEVALUE(TEXT(Assumptions!B59,"MM/DD/YYYY")),0)&lt;=DATE(2028,12,31)),1,0)+IF(AND(Assumptions!B60&lt;&gt;"",IFERROR(DATEVALUE(TEXT(Assumptions!B60,"MM/DD/YYYY")),0)&gt;=DATE(2028,12,1),IFERROR(DATEVALUE(TEXT(Assumptions!B60,"MM/DD/YYYY")),0)&lt;=DATE(2028,12,31)),1,0))&gt;0,0,-('Working Capital'!AC6-'Working Capital'!AB6))</f>
        <v/>
      </c>
      <c r="AD10" s="156">
        <f>IF((IF(AND(Assumptions!B51&lt;&gt;"",IFERROR(DATEVALUE(TEXT(Assumptions!B51,"MM/DD/YYYY")),0)&gt;=DATE(2029,1,1),IFERROR(DATEVALUE(TEXT(Assumptions!B51,"MM/DD/YYYY")),0)&lt;=DATE(2029,1,31)),1,0)+IF(AND(Assumptions!B52&lt;&gt;"",IFERROR(DATEVALUE(TEXT(Assumptions!B52,"MM/DD/YYYY")),0)&gt;=DATE(2029,1,1),IFERROR(DATEVALUE(TEXT(Assumptions!B52,"MM/DD/YYYY")),0)&lt;=DATE(2029,1,31)),1,0)+IF(AND(Assumptions!B53&lt;&gt;"",IFERROR(DATEVALUE(TEXT(Assumptions!B53,"MM/DD/YYYY")),0)&gt;=DATE(2029,1,1),IFERROR(DATEVALUE(TEXT(Assumptions!B53,"MM/DD/YYYY")),0)&lt;=DATE(2029,1,31)),1,0)+IF(AND(Assumptions!B54&lt;&gt;"",IFERROR(DATEVALUE(TEXT(Assumptions!B54,"MM/DD/YYYY")),0)&gt;=DATE(2029,1,1),IFERROR(DATEVALUE(TEXT(Assumptions!B54,"MM/DD/YYYY")),0)&lt;=DATE(2029,1,31)),1,0)+IF(AND(Assumptions!B55&lt;&gt;"",IFERROR(DATEVALUE(TEXT(Assumptions!B55,"MM/DD/YYYY")),0)&gt;=DATE(2029,1,1),IFERROR(DATEVALUE(TEXT(Assumptions!B55,"MM/DD/YYYY")),0)&lt;=DATE(2029,1,31)),1,0)+IF(AND(Assumptions!B56&lt;&gt;"",IFERROR(DATEVALUE(TEXT(Assumptions!B56,"MM/DD/YYYY")),0)&gt;=DATE(2029,1,1),IFERROR(DATEVALUE(TEXT(Assumptions!B56,"MM/DD/YYYY")),0)&lt;=DATE(2029,1,31)),1,0)+IF(AND(Assumptions!B57&lt;&gt;"",IFERROR(DATEVALUE(TEXT(Assumptions!B57,"MM/DD/YYYY")),0)&gt;=DATE(2029,1,1),IFERROR(DATEVALUE(TEXT(Assumptions!B57,"MM/DD/YYYY")),0)&lt;=DATE(2029,1,31)),1,0)+IF(AND(Assumptions!B58&lt;&gt;"",IFERROR(DATEVALUE(TEXT(Assumptions!B58,"MM/DD/YYYY")),0)&gt;=DATE(2029,1,1),IFERROR(DATEVALUE(TEXT(Assumptions!B58,"MM/DD/YYYY")),0)&lt;=DATE(2029,1,31)),1,0)+IF(AND(Assumptions!B59&lt;&gt;"",IFERROR(DATEVALUE(TEXT(Assumptions!B59,"MM/DD/YYYY")),0)&gt;=DATE(2029,1,1),IFERROR(DATEVALUE(TEXT(Assumptions!B59,"MM/DD/YYYY")),0)&lt;=DATE(2029,1,31)),1,0)+IF(AND(Assumptions!B60&lt;&gt;"",IFERROR(DATEVALUE(TEXT(Assumptions!B60,"MM/DD/YYYY")),0)&gt;=DATE(2029,1,1),IFERROR(DATEVALUE(TEXT(Assumptions!B60,"MM/DD/YYYY")),0)&lt;=DATE(2029,1,31)),1,0))&gt;0,0,-('Working Capital'!AD6-'Working Capital'!AC6))</f>
        <v/>
      </c>
      <c r="AE10" s="156">
        <f>IF((IF(AND(Assumptions!B51&lt;&gt;"",IFERROR(DATEVALUE(TEXT(Assumptions!B51,"MM/DD/YYYY")),0)&gt;=DATE(2029,2,1),IFERROR(DATEVALUE(TEXT(Assumptions!B51,"MM/DD/YYYY")),0)&lt;=DATE(2029,2,28)),1,0)+IF(AND(Assumptions!B52&lt;&gt;"",IFERROR(DATEVALUE(TEXT(Assumptions!B52,"MM/DD/YYYY")),0)&gt;=DATE(2029,2,1),IFERROR(DATEVALUE(TEXT(Assumptions!B52,"MM/DD/YYYY")),0)&lt;=DATE(2029,2,28)),1,0)+IF(AND(Assumptions!B53&lt;&gt;"",IFERROR(DATEVALUE(TEXT(Assumptions!B53,"MM/DD/YYYY")),0)&gt;=DATE(2029,2,1),IFERROR(DATEVALUE(TEXT(Assumptions!B53,"MM/DD/YYYY")),0)&lt;=DATE(2029,2,28)),1,0)+IF(AND(Assumptions!B54&lt;&gt;"",IFERROR(DATEVALUE(TEXT(Assumptions!B54,"MM/DD/YYYY")),0)&gt;=DATE(2029,2,1),IFERROR(DATEVALUE(TEXT(Assumptions!B54,"MM/DD/YYYY")),0)&lt;=DATE(2029,2,28)),1,0)+IF(AND(Assumptions!B55&lt;&gt;"",IFERROR(DATEVALUE(TEXT(Assumptions!B55,"MM/DD/YYYY")),0)&gt;=DATE(2029,2,1),IFERROR(DATEVALUE(TEXT(Assumptions!B55,"MM/DD/YYYY")),0)&lt;=DATE(2029,2,28)),1,0)+IF(AND(Assumptions!B56&lt;&gt;"",IFERROR(DATEVALUE(TEXT(Assumptions!B56,"MM/DD/YYYY")),0)&gt;=DATE(2029,2,1),IFERROR(DATEVALUE(TEXT(Assumptions!B56,"MM/DD/YYYY")),0)&lt;=DATE(2029,2,28)),1,0)+IF(AND(Assumptions!B57&lt;&gt;"",IFERROR(DATEVALUE(TEXT(Assumptions!B57,"MM/DD/YYYY")),0)&gt;=DATE(2029,2,1),IFERROR(DATEVALUE(TEXT(Assumptions!B57,"MM/DD/YYYY")),0)&lt;=DATE(2029,2,28)),1,0)+IF(AND(Assumptions!B58&lt;&gt;"",IFERROR(DATEVALUE(TEXT(Assumptions!B58,"MM/DD/YYYY")),0)&gt;=DATE(2029,2,1),IFERROR(DATEVALUE(TEXT(Assumptions!B58,"MM/DD/YYYY")),0)&lt;=DATE(2029,2,28)),1,0)+IF(AND(Assumptions!B59&lt;&gt;"",IFERROR(DATEVALUE(TEXT(Assumptions!B59,"MM/DD/YYYY")),0)&gt;=DATE(2029,2,1),IFERROR(DATEVALUE(TEXT(Assumptions!B59,"MM/DD/YYYY")),0)&lt;=DATE(2029,2,28)),1,0)+IF(AND(Assumptions!B60&lt;&gt;"",IFERROR(DATEVALUE(TEXT(Assumptions!B60,"MM/DD/YYYY")),0)&gt;=DATE(2029,2,1),IFERROR(DATEVALUE(TEXT(Assumptions!B60,"MM/DD/YYYY")),0)&lt;=DATE(2029,2,28)),1,0))&gt;0,0,-('Working Capital'!AE6-'Working Capital'!AD6))</f>
        <v/>
      </c>
      <c r="AF10" s="156">
        <f>IF((IF(AND(Assumptions!B51&lt;&gt;"",IFERROR(DATEVALUE(TEXT(Assumptions!B51,"MM/DD/YYYY")),0)&gt;=DATE(2029,3,1),IFERROR(DATEVALUE(TEXT(Assumptions!B51,"MM/DD/YYYY")),0)&lt;=DATE(2029,3,31)),1,0)+IF(AND(Assumptions!B52&lt;&gt;"",IFERROR(DATEVALUE(TEXT(Assumptions!B52,"MM/DD/YYYY")),0)&gt;=DATE(2029,3,1),IFERROR(DATEVALUE(TEXT(Assumptions!B52,"MM/DD/YYYY")),0)&lt;=DATE(2029,3,31)),1,0)+IF(AND(Assumptions!B53&lt;&gt;"",IFERROR(DATEVALUE(TEXT(Assumptions!B53,"MM/DD/YYYY")),0)&gt;=DATE(2029,3,1),IFERROR(DATEVALUE(TEXT(Assumptions!B53,"MM/DD/YYYY")),0)&lt;=DATE(2029,3,31)),1,0)+IF(AND(Assumptions!B54&lt;&gt;"",IFERROR(DATEVALUE(TEXT(Assumptions!B54,"MM/DD/YYYY")),0)&gt;=DATE(2029,3,1),IFERROR(DATEVALUE(TEXT(Assumptions!B54,"MM/DD/YYYY")),0)&lt;=DATE(2029,3,31)),1,0)+IF(AND(Assumptions!B55&lt;&gt;"",IFERROR(DATEVALUE(TEXT(Assumptions!B55,"MM/DD/YYYY")),0)&gt;=DATE(2029,3,1),IFERROR(DATEVALUE(TEXT(Assumptions!B55,"MM/DD/YYYY")),0)&lt;=DATE(2029,3,31)),1,0)+IF(AND(Assumptions!B56&lt;&gt;"",IFERROR(DATEVALUE(TEXT(Assumptions!B56,"MM/DD/YYYY")),0)&gt;=DATE(2029,3,1),IFERROR(DATEVALUE(TEXT(Assumptions!B56,"MM/DD/YYYY")),0)&lt;=DATE(2029,3,31)),1,0)+IF(AND(Assumptions!B57&lt;&gt;"",IFERROR(DATEVALUE(TEXT(Assumptions!B57,"MM/DD/YYYY")),0)&gt;=DATE(2029,3,1),IFERROR(DATEVALUE(TEXT(Assumptions!B57,"MM/DD/YYYY")),0)&lt;=DATE(2029,3,31)),1,0)+IF(AND(Assumptions!B58&lt;&gt;"",IFERROR(DATEVALUE(TEXT(Assumptions!B58,"MM/DD/YYYY")),0)&gt;=DATE(2029,3,1),IFERROR(DATEVALUE(TEXT(Assumptions!B58,"MM/DD/YYYY")),0)&lt;=DATE(2029,3,31)),1,0)+IF(AND(Assumptions!B59&lt;&gt;"",IFERROR(DATEVALUE(TEXT(Assumptions!B59,"MM/DD/YYYY")),0)&gt;=DATE(2029,3,1),IFERROR(DATEVALUE(TEXT(Assumptions!B59,"MM/DD/YYYY")),0)&lt;=DATE(2029,3,31)),1,0)+IF(AND(Assumptions!B60&lt;&gt;"",IFERROR(DATEVALUE(TEXT(Assumptions!B60,"MM/DD/YYYY")),0)&gt;=DATE(2029,3,1),IFERROR(DATEVALUE(TEXT(Assumptions!B60,"MM/DD/YYYY")),0)&lt;=DATE(2029,3,31)),1,0))&gt;0,0,-('Working Capital'!AF6-'Working Capital'!AE6))</f>
        <v/>
      </c>
      <c r="AG10" s="156">
        <f>IF((IF(AND(Assumptions!B51&lt;&gt;"",IFERROR(DATEVALUE(TEXT(Assumptions!B51,"MM/DD/YYYY")),0)&gt;=DATE(2029,4,1),IFERROR(DATEVALUE(TEXT(Assumptions!B51,"MM/DD/YYYY")),0)&lt;=DATE(2029,4,30)),1,0)+IF(AND(Assumptions!B52&lt;&gt;"",IFERROR(DATEVALUE(TEXT(Assumptions!B52,"MM/DD/YYYY")),0)&gt;=DATE(2029,4,1),IFERROR(DATEVALUE(TEXT(Assumptions!B52,"MM/DD/YYYY")),0)&lt;=DATE(2029,4,30)),1,0)+IF(AND(Assumptions!B53&lt;&gt;"",IFERROR(DATEVALUE(TEXT(Assumptions!B53,"MM/DD/YYYY")),0)&gt;=DATE(2029,4,1),IFERROR(DATEVALUE(TEXT(Assumptions!B53,"MM/DD/YYYY")),0)&lt;=DATE(2029,4,30)),1,0)+IF(AND(Assumptions!B54&lt;&gt;"",IFERROR(DATEVALUE(TEXT(Assumptions!B54,"MM/DD/YYYY")),0)&gt;=DATE(2029,4,1),IFERROR(DATEVALUE(TEXT(Assumptions!B54,"MM/DD/YYYY")),0)&lt;=DATE(2029,4,30)),1,0)+IF(AND(Assumptions!B55&lt;&gt;"",IFERROR(DATEVALUE(TEXT(Assumptions!B55,"MM/DD/YYYY")),0)&gt;=DATE(2029,4,1),IFERROR(DATEVALUE(TEXT(Assumptions!B55,"MM/DD/YYYY")),0)&lt;=DATE(2029,4,30)),1,0)+IF(AND(Assumptions!B56&lt;&gt;"",IFERROR(DATEVALUE(TEXT(Assumptions!B56,"MM/DD/YYYY")),0)&gt;=DATE(2029,4,1),IFERROR(DATEVALUE(TEXT(Assumptions!B56,"MM/DD/YYYY")),0)&lt;=DATE(2029,4,30)),1,0)+IF(AND(Assumptions!B57&lt;&gt;"",IFERROR(DATEVALUE(TEXT(Assumptions!B57,"MM/DD/YYYY")),0)&gt;=DATE(2029,4,1),IFERROR(DATEVALUE(TEXT(Assumptions!B57,"MM/DD/YYYY")),0)&lt;=DATE(2029,4,30)),1,0)+IF(AND(Assumptions!B58&lt;&gt;"",IFERROR(DATEVALUE(TEXT(Assumptions!B58,"MM/DD/YYYY")),0)&gt;=DATE(2029,4,1),IFERROR(DATEVALUE(TEXT(Assumptions!B58,"MM/DD/YYYY")),0)&lt;=DATE(2029,4,30)),1,0)+IF(AND(Assumptions!B59&lt;&gt;"",IFERROR(DATEVALUE(TEXT(Assumptions!B59,"MM/DD/YYYY")),0)&gt;=DATE(2029,4,1),IFERROR(DATEVALUE(TEXT(Assumptions!B59,"MM/DD/YYYY")),0)&lt;=DATE(2029,4,30)),1,0)+IF(AND(Assumptions!B60&lt;&gt;"",IFERROR(DATEVALUE(TEXT(Assumptions!B60,"MM/DD/YYYY")),0)&gt;=DATE(2029,4,1),IFERROR(DATEVALUE(TEXT(Assumptions!B60,"MM/DD/YYYY")),0)&lt;=DATE(2029,4,30)),1,0))&gt;0,0,-('Working Capital'!AG6-'Working Capital'!AF6))</f>
        <v/>
      </c>
      <c r="AH10" s="156">
        <f>IF((IF(AND(Assumptions!B51&lt;&gt;"",IFERROR(DATEVALUE(TEXT(Assumptions!B51,"MM/DD/YYYY")),0)&gt;=DATE(2029,5,1),IFERROR(DATEVALUE(TEXT(Assumptions!B51,"MM/DD/YYYY")),0)&lt;=DATE(2029,5,31)),1,0)+IF(AND(Assumptions!B52&lt;&gt;"",IFERROR(DATEVALUE(TEXT(Assumptions!B52,"MM/DD/YYYY")),0)&gt;=DATE(2029,5,1),IFERROR(DATEVALUE(TEXT(Assumptions!B52,"MM/DD/YYYY")),0)&lt;=DATE(2029,5,31)),1,0)+IF(AND(Assumptions!B53&lt;&gt;"",IFERROR(DATEVALUE(TEXT(Assumptions!B53,"MM/DD/YYYY")),0)&gt;=DATE(2029,5,1),IFERROR(DATEVALUE(TEXT(Assumptions!B53,"MM/DD/YYYY")),0)&lt;=DATE(2029,5,31)),1,0)+IF(AND(Assumptions!B54&lt;&gt;"",IFERROR(DATEVALUE(TEXT(Assumptions!B54,"MM/DD/YYYY")),0)&gt;=DATE(2029,5,1),IFERROR(DATEVALUE(TEXT(Assumptions!B54,"MM/DD/YYYY")),0)&lt;=DATE(2029,5,31)),1,0)+IF(AND(Assumptions!B55&lt;&gt;"",IFERROR(DATEVALUE(TEXT(Assumptions!B55,"MM/DD/YYYY")),0)&gt;=DATE(2029,5,1),IFERROR(DATEVALUE(TEXT(Assumptions!B55,"MM/DD/YYYY")),0)&lt;=DATE(2029,5,31)),1,0)+IF(AND(Assumptions!B56&lt;&gt;"",IFERROR(DATEVALUE(TEXT(Assumptions!B56,"MM/DD/YYYY")),0)&gt;=DATE(2029,5,1),IFERROR(DATEVALUE(TEXT(Assumptions!B56,"MM/DD/YYYY")),0)&lt;=DATE(2029,5,31)),1,0)+IF(AND(Assumptions!B57&lt;&gt;"",IFERROR(DATEVALUE(TEXT(Assumptions!B57,"MM/DD/YYYY")),0)&gt;=DATE(2029,5,1),IFERROR(DATEVALUE(TEXT(Assumptions!B57,"MM/DD/YYYY")),0)&lt;=DATE(2029,5,31)),1,0)+IF(AND(Assumptions!B58&lt;&gt;"",IFERROR(DATEVALUE(TEXT(Assumptions!B58,"MM/DD/YYYY")),0)&gt;=DATE(2029,5,1),IFERROR(DATEVALUE(TEXT(Assumptions!B58,"MM/DD/YYYY")),0)&lt;=DATE(2029,5,31)),1,0)+IF(AND(Assumptions!B59&lt;&gt;"",IFERROR(DATEVALUE(TEXT(Assumptions!B59,"MM/DD/YYYY")),0)&gt;=DATE(2029,5,1),IFERROR(DATEVALUE(TEXT(Assumptions!B59,"MM/DD/YYYY")),0)&lt;=DATE(2029,5,31)),1,0)+IF(AND(Assumptions!B60&lt;&gt;"",IFERROR(DATEVALUE(TEXT(Assumptions!B60,"MM/DD/YYYY")),0)&gt;=DATE(2029,5,1),IFERROR(DATEVALUE(TEXT(Assumptions!B60,"MM/DD/YYYY")),0)&lt;=DATE(2029,5,31)),1,0))&gt;0,0,-('Working Capital'!AH6-'Working Capital'!AG6))</f>
        <v/>
      </c>
      <c r="AI10" s="156">
        <f>IF((IF(AND(Assumptions!B51&lt;&gt;"",IFERROR(DATEVALUE(TEXT(Assumptions!B51,"MM/DD/YYYY")),0)&gt;=DATE(2029,6,1),IFERROR(DATEVALUE(TEXT(Assumptions!B51,"MM/DD/YYYY")),0)&lt;=DATE(2029,6,30)),1,0)+IF(AND(Assumptions!B52&lt;&gt;"",IFERROR(DATEVALUE(TEXT(Assumptions!B52,"MM/DD/YYYY")),0)&gt;=DATE(2029,6,1),IFERROR(DATEVALUE(TEXT(Assumptions!B52,"MM/DD/YYYY")),0)&lt;=DATE(2029,6,30)),1,0)+IF(AND(Assumptions!B53&lt;&gt;"",IFERROR(DATEVALUE(TEXT(Assumptions!B53,"MM/DD/YYYY")),0)&gt;=DATE(2029,6,1),IFERROR(DATEVALUE(TEXT(Assumptions!B53,"MM/DD/YYYY")),0)&lt;=DATE(2029,6,30)),1,0)+IF(AND(Assumptions!B54&lt;&gt;"",IFERROR(DATEVALUE(TEXT(Assumptions!B54,"MM/DD/YYYY")),0)&gt;=DATE(2029,6,1),IFERROR(DATEVALUE(TEXT(Assumptions!B54,"MM/DD/YYYY")),0)&lt;=DATE(2029,6,30)),1,0)+IF(AND(Assumptions!B55&lt;&gt;"",IFERROR(DATEVALUE(TEXT(Assumptions!B55,"MM/DD/YYYY")),0)&gt;=DATE(2029,6,1),IFERROR(DATEVALUE(TEXT(Assumptions!B55,"MM/DD/YYYY")),0)&lt;=DATE(2029,6,30)),1,0)+IF(AND(Assumptions!B56&lt;&gt;"",IFERROR(DATEVALUE(TEXT(Assumptions!B56,"MM/DD/YYYY")),0)&gt;=DATE(2029,6,1),IFERROR(DATEVALUE(TEXT(Assumptions!B56,"MM/DD/YYYY")),0)&lt;=DATE(2029,6,30)),1,0)+IF(AND(Assumptions!B57&lt;&gt;"",IFERROR(DATEVALUE(TEXT(Assumptions!B57,"MM/DD/YYYY")),0)&gt;=DATE(2029,6,1),IFERROR(DATEVALUE(TEXT(Assumptions!B57,"MM/DD/YYYY")),0)&lt;=DATE(2029,6,30)),1,0)+IF(AND(Assumptions!B58&lt;&gt;"",IFERROR(DATEVALUE(TEXT(Assumptions!B58,"MM/DD/YYYY")),0)&gt;=DATE(2029,6,1),IFERROR(DATEVALUE(TEXT(Assumptions!B58,"MM/DD/YYYY")),0)&lt;=DATE(2029,6,30)),1,0)+IF(AND(Assumptions!B59&lt;&gt;"",IFERROR(DATEVALUE(TEXT(Assumptions!B59,"MM/DD/YYYY")),0)&gt;=DATE(2029,6,1),IFERROR(DATEVALUE(TEXT(Assumptions!B59,"MM/DD/YYYY")),0)&lt;=DATE(2029,6,30)),1,0)+IF(AND(Assumptions!B60&lt;&gt;"",IFERROR(DATEVALUE(TEXT(Assumptions!B60,"MM/DD/YYYY")),0)&gt;=DATE(2029,6,1),IFERROR(DATEVALUE(TEXT(Assumptions!B60,"MM/DD/YYYY")),0)&lt;=DATE(2029,6,30)),1,0))&gt;0,0,-('Working Capital'!AI6-'Working Capital'!AH6))</f>
        <v/>
      </c>
      <c r="AJ10" s="156">
        <f>IF((IF(AND(Assumptions!B51&lt;&gt;"",IFERROR(DATEVALUE(TEXT(Assumptions!B51,"MM/DD/YYYY")),0)&gt;=DATE(2029,7,1),IFERROR(DATEVALUE(TEXT(Assumptions!B51,"MM/DD/YYYY")),0)&lt;=DATE(2029,7,31)),1,0)+IF(AND(Assumptions!B52&lt;&gt;"",IFERROR(DATEVALUE(TEXT(Assumptions!B52,"MM/DD/YYYY")),0)&gt;=DATE(2029,7,1),IFERROR(DATEVALUE(TEXT(Assumptions!B52,"MM/DD/YYYY")),0)&lt;=DATE(2029,7,31)),1,0)+IF(AND(Assumptions!B53&lt;&gt;"",IFERROR(DATEVALUE(TEXT(Assumptions!B53,"MM/DD/YYYY")),0)&gt;=DATE(2029,7,1),IFERROR(DATEVALUE(TEXT(Assumptions!B53,"MM/DD/YYYY")),0)&lt;=DATE(2029,7,31)),1,0)+IF(AND(Assumptions!B54&lt;&gt;"",IFERROR(DATEVALUE(TEXT(Assumptions!B54,"MM/DD/YYYY")),0)&gt;=DATE(2029,7,1),IFERROR(DATEVALUE(TEXT(Assumptions!B54,"MM/DD/YYYY")),0)&lt;=DATE(2029,7,31)),1,0)+IF(AND(Assumptions!B55&lt;&gt;"",IFERROR(DATEVALUE(TEXT(Assumptions!B55,"MM/DD/YYYY")),0)&gt;=DATE(2029,7,1),IFERROR(DATEVALUE(TEXT(Assumptions!B55,"MM/DD/YYYY")),0)&lt;=DATE(2029,7,31)),1,0)+IF(AND(Assumptions!B56&lt;&gt;"",IFERROR(DATEVALUE(TEXT(Assumptions!B56,"MM/DD/YYYY")),0)&gt;=DATE(2029,7,1),IFERROR(DATEVALUE(TEXT(Assumptions!B56,"MM/DD/YYYY")),0)&lt;=DATE(2029,7,31)),1,0)+IF(AND(Assumptions!B57&lt;&gt;"",IFERROR(DATEVALUE(TEXT(Assumptions!B57,"MM/DD/YYYY")),0)&gt;=DATE(2029,7,1),IFERROR(DATEVALUE(TEXT(Assumptions!B57,"MM/DD/YYYY")),0)&lt;=DATE(2029,7,31)),1,0)+IF(AND(Assumptions!B58&lt;&gt;"",IFERROR(DATEVALUE(TEXT(Assumptions!B58,"MM/DD/YYYY")),0)&gt;=DATE(2029,7,1),IFERROR(DATEVALUE(TEXT(Assumptions!B58,"MM/DD/YYYY")),0)&lt;=DATE(2029,7,31)),1,0)+IF(AND(Assumptions!B59&lt;&gt;"",IFERROR(DATEVALUE(TEXT(Assumptions!B59,"MM/DD/YYYY")),0)&gt;=DATE(2029,7,1),IFERROR(DATEVALUE(TEXT(Assumptions!B59,"MM/DD/YYYY")),0)&lt;=DATE(2029,7,31)),1,0)+IF(AND(Assumptions!B60&lt;&gt;"",IFERROR(DATEVALUE(TEXT(Assumptions!B60,"MM/DD/YYYY")),0)&gt;=DATE(2029,7,1),IFERROR(DATEVALUE(TEXT(Assumptions!B60,"MM/DD/YYYY")),0)&lt;=DATE(2029,7,31)),1,0))&gt;0,0,-('Working Capital'!AJ6-'Working Capital'!AI6))</f>
        <v/>
      </c>
      <c r="AK10" s="156">
        <f>IF((IF(AND(Assumptions!B51&lt;&gt;"",IFERROR(DATEVALUE(TEXT(Assumptions!B51,"MM/DD/YYYY")),0)&gt;=DATE(2029,8,1),IFERROR(DATEVALUE(TEXT(Assumptions!B51,"MM/DD/YYYY")),0)&lt;=DATE(2029,8,31)),1,0)+IF(AND(Assumptions!B52&lt;&gt;"",IFERROR(DATEVALUE(TEXT(Assumptions!B52,"MM/DD/YYYY")),0)&gt;=DATE(2029,8,1),IFERROR(DATEVALUE(TEXT(Assumptions!B52,"MM/DD/YYYY")),0)&lt;=DATE(2029,8,31)),1,0)+IF(AND(Assumptions!B53&lt;&gt;"",IFERROR(DATEVALUE(TEXT(Assumptions!B53,"MM/DD/YYYY")),0)&gt;=DATE(2029,8,1),IFERROR(DATEVALUE(TEXT(Assumptions!B53,"MM/DD/YYYY")),0)&lt;=DATE(2029,8,31)),1,0)+IF(AND(Assumptions!B54&lt;&gt;"",IFERROR(DATEVALUE(TEXT(Assumptions!B54,"MM/DD/YYYY")),0)&gt;=DATE(2029,8,1),IFERROR(DATEVALUE(TEXT(Assumptions!B54,"MM/DD/YYYY")),0)&lt;=DATE(2029,8,31)),1,0)+IF(AND(Assumptions!B55&lt;&gt;"",IFERROR(DATEVALUE(TEXT(Assumptions!B55,"MM/DD/YYYY")),0)&gt;=DATE(2029,8,1),IFERROR(DATEVALUE(TEXT(Assumptions!B55,"MM/DD/YYYY")),0)&lt;=DATE(2029,8,31)),1,0)+IF(AND(Assumptions!B56&lt;&gt;"",IFERROR(DATEVALUE(TEXT(Assumptions!B56,"MM/DD/YYYY")),0)&gt;=DATE(2029,8,1),IFERROR(DATEVALUE(TEXT(Assumptions!B56,"MM/DD/YYYY")),0)&lt;=DATE(2029,8,31)),1,0)+IF(AND(Assumptions!B57&lt;&gt;"",IFERROR(DATEVALUE(TEXT(Assumptions!B57,"MM/DD/YYYY")),0)&gt;=DATE(2029,8,1),IFERROR(DATEVALUE(TEXT(Assumptions!B57,"MM/DD/YYYY")),0)&lt;=DATE(2029,8,31)),1,0)+IF(AND(Assumptions!B58&lt;&gt;"",IFERROR(DATEVALUE(TEXT(Assumptions!B58,"MM/DD/YYYY")),0)&gt;=DATE(2029,8,1),IFERROR(DATEVALUE(TEXT(Assumptions!B58,"MM/DD/YYYY")),0)&lt;=DATE(2029,8,31)),1,0)+IF(AND(Assumptions!B59&lt;&gt;"",IFERROR(DATEVALUE(TEXT(Assumptions!B59,"MM/DD/YYYY")),0)&gt;=DATE(2029,8,1),IFERROR(DATEVALUE(TEXT(Assumptions!B59,"MM/DD/YYYY")),0)&lt;=DATE(2029,8,31)),1,0)+IF(AND(Assumptions!B60&lt;&gt;"",IFERROR(DATEVALUE(TEXT(Assumptions!B60,"MM/DD/YYYY")),0)&gt;=DATE(2029,8,1),IFERROR(DATEVALUE(TEXT(Assumptions!B60,"MM/DD/YYYY")),0)&lt;=DATE(2029,8,31)),1,0))&gt;0,0,-('Working Capital'!AK6-'Working Capital'!AJ6))</f>
        <v/>
      </c>
      <c r="AL10" s="156">
        <f>IF((IF(AND(Assumptions!B51&lt;&gt;"",IFERROR(DATEVALUE(TEXT(Assumptions!B51,"MM/DD/YYYY")),0)&gt;=DATE(2029,9,1),IFERROR(DATEVALUE(TEXT(Assumptions!B51,"MM/DD/YYYY")),0)&lt;=DATE(2029,9,30)),1,0)+IF(AND(Assumptions!B52&lt;&gt;"",IFERROR(DATEVALUE(TEXT(Assumptions!B52,"MM/DD/YYYY")),0)&gt;=DATE(2029,9,1),IFERROR(DATEVALUE(TEXT(Assumptions!B52,"MM/DD/YYYY")),0)&lt;=DATE(2029,9,30)),1,0)+IF(AND(Assumptions!B53&lt;&gt;"",IFERROR(DATEVALUE(TEXT(Assumptions!B53,"MM/DD/YYYY")),0)&gt;=DATE(2029,9,1),IFERROR(DATEVALUE(TEXT(Assumptions!B53,"MM/DD/YYYY")),0)&lt;=DATE(2029,9,30)),1,0)+IF(AND(Assumptions!B54&lt;&gt;"",IFERROR(DATEVALUE(TEXT(Assumptions!B54,"MM/DD/YYYY")),0)&gt;=DATE(2029,9,1),IFERROR(DATEVALUE(TEXT(Assumptions!B54,"MM/DD/YYYY")),0)&lt;=DATE(2029,9,30)),1,0)+IF(AND(Assumptions!B55&lt;&gt;"",IFERROR(DATEVALUE(TEXT(Assumptions!B55,"MM/DD/YYYY")),0)&gt;=DATE(2029,9,1),IFERROR(DATEVALUE(TEXT(Assumptions!B55,"MM/DD/YYYY")),0)&lt;=DATE(2029,9,30)),1,0)+IF(AND(Assumptions!B56&lt;&gt;"",IFERROR(DATEVALUE(TEXT(Assumptions!B56,"MM/DD/YYYY")),0)&gt;=DATE(2029,9,1),IFERROR(DATEVALUE(TEXT(Assumptions!B56,"MM/DD/YYYY")),0)&lt;=DATE(2029,9,30)),1,0)+IF(AND(Assumptions!B57&lt;&gt;"",IFERROR(DATEVALUE(TEXT(Assumptions!B57,"MM/DD/YYYY")),0)&gt;=DATE(2029,9,1),IFERROR(DATEVALUE(TEXT(Assumptions!B57,"MM/DD/YYYY")),0)&lt;=DATE(2029,9,30)),1,0)+IF(AND(Assumptions!B58&lt;&gt;"",IFERROR(DATEVALUE(TEXT(Assumptions!B58,"MM/DD/YYYY")),0)&gt;=DATE(2029,9,1),IFERROR(DATEVALUE(TEXT(Assumptions!B58,"MM/DD/YYYY")),0)&lt;=DATE(2029,9,30)),1,0)+IF(AND(Assumptions!B59&lt;&gt;"",IFERROR(DATEVALUE(TEXT(Assumptions!B59,"MM/DD/YYYY")),0)&gt;=DATE(2029,9,1),IFERROR(DATEVALUE(TEXT(Assumptions!B59,"MM/DD/YYYY")),0)&lt;=DATE(2029,9,30)),1,0)+IF(AND(Assumptions!B60&lt;&gt;"",IFERROR(DATEVALUE(TEXT(Assumptions!B60,"MM/DD/YYYY")),0)&gt;=DATE(2029,9,1),IFERROR(DATEVALUE(TEXT(Assumptions!B60,"MM/DD/YYYY")),0)&lt;=DATE(2029,9,30)),1,0))&gt;0,0,-('Working Capital'!AL6-'Working Capital'!AK6))</f>
        <v/>
      </c>
      <c r="AM10" s="156">
        <f>IF((IF(AND(Assumptions!B51&lt;&gt;"",IFERROR(DATEVALUE(TEXT(Assumptions!B51,"MM/DD/YYYY")),0)&gt;=DATE(2029,10,1),IFERROR(DATEVALUE(TEXT(Assumptions!B51,"MM/DD/YYYY")),0)&lt;=DATE(2029,10,31)),1,0)+IF(AND(Assumptions!B52&lt;&gt;"",IFERROR(DATEVALUE(TEXT(Assumptions!B52,"MM/DD/YYYY")),0)&gt;=DATE(2029,10,1),IFERROR(DATEVALUE(TEXT(Assumptions!B52,"MM/DD/YYYY")),0)&lt;=DATE(2029,10,31)),1,0)+IF(AND(Assumptions!B53&lt;&gt;"",IFERROR(DATEVALUE(TEXT(Assumptions!B53,"MM/DD/YYYY")),0)&gt;=DATE(2029,10,1),IFERROR(DATEVALUE(TEXT(Assumptions!B53,"MM/DD/YYYY")),0)&lt;=DATE(2029,10,31)),1,0)+IF(AND(Assumptions!B54&lt;&gt;"",IFERROR(DATEVALUE(TEXT(Assumptions!B54,"MM/DD/YYYY")),0)&gt;=DATE(2029,10,1),IFERROR(DATEVALUE(TEXT(Assumptions!B54,"MM/DD/YYYY")),0)&lt;=DATE(2029,10,31)),1,0)+IF(AND(Assumptions!B55&lt;&gt;"",IFERROR(DATEVALUE(TEXT(Assumptions!B55,"MM/DD/YYYY")),0)&gt;=DATE(2029,10,1),IFERROR(DATEVALUE(TEXT(Assumptions!B55,"MM/DD/YYYY")),0)&lt;=DATE(2029,10,31)),1,0)+IF(AND(Assumptions!B56&lt;&gt;"",IFERROR(DATEVALUE(TEXT(Assumptions!B56,"MM/DD/YYYY")),0)&gt;=DATE(2029,10,1),IFERROR(DATEVALUE(TEXT(Assumptions!B56,"MM/DD/YYYY")),0)&lt;=DATE(2029,10,31)),1,0)+IF(AND(Assumptions!B57&lt;&gt;"",IFERROR(DATEVALUE(TEXT(Assumptions!B57,"MM/DD/YYYY")),0)&gt;=DATE(2029,10,1),IFERROR(DATEVALUE(TEXT(Assumptions!B57,"MM/DD/YYYY")),0)&lt;=DATE(2029,10,31)),1,0)+IF(AND(Assumptions!B58&lt;&gt;"",IFERROR(DATEVALUE(TEXT(Assumptions!B58,"MM/DD/YYYY")),0)&gt;=DATE(2029,10,1),IFERROR(DATEVALUE(TEXT(Assumptions!B58,"MM/DD/YYYY")),0)&lt;=DATE(2029,10,31)),1,0)+IF(AND(Assumptions!B59&lt;&gt;"",IFERROR(DATEVALUE(TEXT(Assumptions!B59,"MM/DD/YYYY")),0)&gt;=DATE(2029,10,1),IFERROR(DATEVALUE(TEXT(Assumptions!B59,"MM/DD/YYYY")),0)&lt;=DATE(2029,10,31)),1,0)+IF(AND(Assumptions!B60&lt;&gt;"",IFERROR(DATEVALUE(TEXT(Assumptions!B60,"MM/DD/YYYY")),0)&gt;=DATE(2029,10,1),IFERROR(DATEVALUE(TEXT(Assumptions!B60,"MM/DD/YYYY")),0)&lt;=DATE(2029,10,31)),1,0))&gt;0,0,-('Working Capital'!AM6-'Working Capital'!AL6))</f>
        <v/>
      </c>
      <c r="AN10" s="156">
        <f>IF((IF(AND(Assumptions!B51&lt;&gt;"",IFERROR(DATEVALUE(TEXT(Assumptions!B51,"MM/DD/YYYY")),0)&gt;=DATE(2029,11,1),IFERROR(DATEVALUE(TEXT(Assumptions!B51,"MM/DD/YYYY")),0)&lt;=DATE(2029,11,30)),1,0)+IF(AND(Assumptions!B52&lt;&gt;"",IFERROR(DATEVALUE(TEXT(Assumptions!B52,"MM/DD/YYYY")),0)&gt;=DATE(2029,11,1),IFERROR(DATEVALUE(TEXT(Assumptions!B52,"MM/DD/YYYY")),0)&lt;=DATE(2029,11,30)),1,0)+IF(AND(Assumptions!B53&lt;&gt;"",IFERROR(DATEVALUE(TEXT(Assumptions!B53,"MM/DD/YYYY")),0)&gt;=DATE(2029,11,1),IFERROR(DATEVALUE(TEXT(Assumptions!B53,"MM/DD/YYYY")),0)&lt;=DATE(2029,11,30)),1,0)+IF(AND(Assumptions!B54&lt;&gt;"",IFERROR(DATEVALUE(TEXT(Assumptions!B54,"MM/DD/YYYY")),0)&gt;=DATE(2029,11,1),IFERROR(DATEVALUE(TEXT(Assumptions!B54,"MM/DD/YYYY")),0)&lt;=DATE(2029,11,30)),1,0)+IF(AND(Assumptions!B55&lt;&gt;"",IFERROR(DATEVALUE(TEXT(Assumptions!B55,"MM/DD/YYYY")),0)&gt;=DATE(2029,11,1),IFERROR(DATEVALUE(TEXT(Assumptions!B55,"MM/DD/YYYY")),0)&lt;=DATE(2029,11,30)),1,0)+IF(AND(Assumptions!B56&lt;&gt;"",IFERROR(DATEVALUE(TEXT(Assumptions!B56,"MM/DD/YYYY")),0)&gt;=DATE(2029,11,1),IFERROR(DATEVALUE(TEXT(Assumptions!B56,"MM/DD/YYYY")),0)&lt;=DATE(2029,11,30)),1,0)+IF(AND(Assumptions!B57&lt;&gt;"",IFERROR(DATEVALUE(TEXT(Assumptions!B57,"MM/DD/YYYY")),0)&gt;=DATE(2029,11,1),IFERROR(DATEVALUE(TEXT(Assumptions!B57,"MM/DD/YYYY")),0)&lt;=DATE(2029,11,30)),1,0)+IF(AND(Assumptions!B58&lt;&gt;"",IFERROR(DATEVALUE(TEXT(Assumptions!B58,"MM/DD/YYYY")),0)&gt;=DATE(2029,11,1),IFERROR(DATEVALUE(TEXT(Assumptions!B58,"MM/DD/YYYY")),0)&lt;=DATE(2029,11,30)),1,0)+IF(AND(Assumptions!B59&lt;&gt;"",IFERROR(DATEVALUE(TEXT(Assumptions!B59,"MM/DD/YYYY")),0)&gt;=DATE(2029,11,1),IFERROR(DATEVALUE(TEXT(Assumptions!B59,"MM/DD/YYYY")),0)&lt;=DATE(2029,11,30)),1,0)+IF(AND(Assumptions!B60&lt;&gt;"",IFERROR(DATEVALUE(TEXT(Assumptions!B60,"MM/DD/YYYY")),0)&gt;=DATE(2029,11,1),IFERROR(DATEVALUE(TEXT(Assumptions!B60,"MM/DD/YYYY")),0)&lt;=DATE(2029,11,30)),1,0))&gt;0,0,-('Working Capital'!AN6-'Working Capital'!AM6))</f>
        <v/>
      </c>
      <c r="AO10" s="156">
        <f>IF((IF(AND(Assumptions!B51&lt;&gt;"",IFERROR(DATEVALUE(TEXT(Assumptions!B51,"MM/DD/YYYY")),0)&gt;=DATE(2029,12,1),IFERROR(DATEVALUE(TEXT(Assumptions!B51,"MM/DD/YYYY")),0)&lt;=DATE(2029,12,31)),1,0)+IF(AND(Assumptions!B52&lt;&gt;"",IFERROR(DATEVALUE(TEXT(Assumptions!B52,"MM/DD/YYYY")),0)&gt;=DATE(2029,12,1),IFERROR(DATEVALUE(TEXT(Assumptions!B52,"MM/DD/YYYY")),0)&lt;=DATE(2029,12,31)),1,0)+IF(AND(Assumptions!B53&lt;&gt;"",IFERROR(DATEVALUE(TEXT(Assumptions!B53,"MM/DD/YYYY")),0)&gt;=DATE(2029,12,1),IFERROR(DATEVALUE(TEXT(Assumptions!B53,"MM/DD/YYYY")),0)&lt;=DATE(2029,12,31)),1,0)+IF(AND(Assumptions!B54&lt;&gt;"",IFERROR(DATEVALUE(TEXT(Assumptions!B54,"MM/DD/YYYY")),0)&gt;=DATE(2029,12,1),IFERROR(DATEVALUE(TEXT(Assumptions!B54,"MM/DD/YYYY")),0)&lt;=DATE(2029,12,31)),1,0)+IF(AND(Assumptions!B55&lt;&gt;"",IFERROR(DATEVALUE(TEXT(Assumptions!B55,"MM/DD/YYYY")),0)&gt;=DATE(2029,12,1),IFERROR(DATEVALUE(TEXT(Assumptions!B55,"MM/DD/YYYY")),0)&lt;=DATE(2029,12,31)),1,0)+IF(AND(Assumptions!B56&lt;&gt;"",IFERROR(DATEVALUE(TEXT(Assumptions!B56,"MM/DD/YYYY")),0)&gt;=DATE(2029,12,1),IFERROR(DATEVALUE(TEXT(Assumptions!B56,"MM/DD/YYYY")),0)&lt;=DATE(2029,12,31)),1,0)+IF(AND(Assumptions!B57&lt;&gt;"",IFERROR(DATEVALUE(TEXT(Assumptions!B57,"MM/DD/YYYY")),0)&gt;=DATE(2029,12,1),IFERROR(DATEVALUE(TEXT(Assumptions!B57,"MM/DD/YYYY")),0)&lt;=DATE(2029,12,31)),1,0)+IF(AND(Assumptions!B58&lt;&gt;"",IFERROR(DATEVALUE(TEXT(Assumptions!B58,"MM/DD/YYYY")),0)&gt;=DATE(2029,12,1),IFERROR(DATEVALUE(TEXT(Assumptions!B58,"MM/DD/YYYY")),0)&lt;=DATE(2029,12,31)),1,0)+IF(AND(Assumptions!B59&lt;&gt;"",IFERROR(DATEVALUE(TEXT(Assumptions!B59,"MM/DD/YYYY")),0)&gt;=DATE(2029,12,1),IFERROR(DATEVALUE(TEXT(Assumptions!B59,"MM/DD/YYYY")),0)&lt;=DATE(2029,12,31)),1,0)+IF(AND(Assumptions!B60&lt;&gt;"",IFERROR(DATEVALUE(TEXT(Assumptions!B60,"MM/DD/YYYY")),0)&gt;=DATE(2029,12,1),IFERROR(DATEVALUE(TEXT(Assumptions!B60,"MM/DD/YYYY")),0)&lt;=DATE(2029,12,31)),1,0))&gt;0,0,-('Working Capital'!AO6-'Working Capital'!AN6))</f>
        <v/>
      </c>
      <c r="AP10" s="156">
        <f>IF((IF(AND(Assumptions!B51&lt;&gt;"",IFERROR(DATEVALUE(TEXT(Assumptions!B51,"MM/DD/YYYY")),0)&gt;=DATE(2030,1,1),IFERROR(DATEVALUE(TEXT(Assumptions!B51,"MM/DD/YYYY")),0)&lt;=DATE(2030,1,31)),1,0)+IF(AND(Assumptions!B52&lt;&gt;"",IFERROR(DATEVALUE(TEXT(Assumptions!B52,"MM/DD/YYYY")),0)&gt;=DATE(2030,1,1),IFERROR(DATEVALUE(TEXT(Assumptions!B52,"MM/DD/YYYY")),0)&lt;=DATE(2030,1,31)),1,0)+IF(AND(Assumptions!B53&lt;&gt;"",IFERROR(DATEVALUE(TEXT(Assumptions!B53,"MM/DD/YYYY")),0)&gt;=DATE(2030,1,1),IFERROR(DATEVALUE(TEXT(Assumptions!B53,"MM/DD/YYYY")),0)&lt;=DATE(2030,1,31)),1,0)+IF(AND(Assumptions!B54&lt;&gt;"",IFERROR(DATEVALUE(TEXT(Assumptions!B54,"MM/DD/YYYY")),0)&gt;=DATE(2030,1,1),IFERROR(DATEVALUE(TEXT(Assumptions!B54,"MM/DD/YYYY")),0)&lt;=DATE(2030,1,31)),1,0)+IF(AND(Assumptions!B55&lt;&gt;"",IFERROR(DATEVALUE(TEXT(Assumptions!B55,"MM/DD/YYYY")),0)&gt;=DATE(2030,1,1),IFERROR(DATEVALUE(TEXT(Assumptions!B55,"MM/DD/YYYY")),0)&lt;=DATE(2030,1,31)),1,0)+IF(AND(Assumptions!B56&lt;&gt;"",IFERROR(DATEVALUE(TEXT(Assumptions!B56,"MM/DD/YYYY")),0)&gt;=DATE(2030,1,1),IFERROR(DATEVALUE(TEXT(Assumptions!B56,"MM/DD/YYYY")),0)&lt;=DATE(2030,1,31)),1,0)+IF(AND(Assumptions!B57&lt;&gt;"",IFERROR(DATEVALUE(TEXT(Assumptions!B57,"MM/DD/YYYY")),0)&gt;=DATE(2030,1,1),IFERROR(DATEVALUE(TEXT(Assumptions!B57,"MM/DD/YYYY")),0)&lt;=DATE(2030,1,31)),1,0)+IF(AND(Assumptions!B58&lt;&gt;"",IFERROR(DATEVALUE(TEXT(Assumptions!B58,"MM/DD/YYYY")),0)&gt;=DATE(2030,1,1),IFERROR(DATEVALUE(TEXT(Assumptions!B58,"MM/DD/YYYY")),0)&lt;=DATE(2030,1,31)),1,0)+IF(AND(Assumptions!B59&lt;&gt;"",IFERROR(DATEVALUE(TEXT(Assumptions!B59,"MM/DD/YYYY")),0)&gt;=DATE(2030,1,1),IFERROR(DATEVALUE(TEXT(Assumptions!B59,"MM/DD/YYYY")),0)&lt;=DATE(2030,1,31)),1,0)+IF(AND(Assumptions!B60&lt;&gt;"",IFERROR(DATEVALUE(TEXT(Assumptions!B60,"MM/DD/YYYY")),0)&gt;=DATE(2030,1,1),IFERROR(DATEVALUE(TEXT(Assumptions!B60,"MM/DD/YYYY")),0)&lt;=DATE(2030,1,31)),1,0))&gt;0,0,-('Working Capital'!AP6-'Working Capital'!AO6))</f>
        <v/>
      </c>
      <c r="AQ10" s="156">
        <f>IF((IF(AND(Assumptions!B51&lt;&gt;"",IFERROR(DATEVALUE(TEXT(Assumptions!B51,"MM/DD/YYYY")),0)&gt;=DATE(2030,2,1),IFERROR(DATEVALUE(TEXT(Assumptions!B51,"MM/DD/YYYY")),0)&lt;=DATE(2030,2,28)),1,0)+IF(AND(Assumptions!B52&lt;&gt;"",IFERROR(DATEVALUE(TEXT(Assumptions!B52,"MM/DD/YYYY")),0)&gt;=DATE(2030,2,1),IFERROR(DATEVALUE(TEXT(Assumptions!B52,"MM/DD/YYYY")),0)&lt;=DATE(2030,2,28)),1,0)+IF(AND(Assumptions!B53&lt;&gt;"",IFERROR(DATEVALUE(TEXT(Assumptions!B53,"MM/DD/YYYY")),0)&gt;=DATE(2030,2,1),IFERROR(DATEVALUE(TEXT(Assumptions!B53,"MM/DD/YYYY")),0)&lt;=DATE(2030,2,28)),1,0)+IF(AND(Assumptions!B54&lt;&gt;"",IFERROR(DATEVALUE(TEXT(Assumptions!B54,"MM/DD/YYYY")),0)&gt;=DATE(2030,2,1),IFERROR(DATEVALUE(TEXT(Assumptions!B54,"MM/DD/YYYY")),0)&lt;=DATE(2030,2,28)),1,0)+IF(AND(Assumptions!B55&lt;&gt;"",IFERROR(DATEVALUE(TEXT(Assumptions!B55,"MM/DD/YYYY")),0)&gt;=DATE(2030,2,1),IFERROR(DATEVALUE(TEXT(Assumptions!B55,"MM/DD/YYYY")),0)&lt;=DATE(2030,2,28)),1,0)+IF(AND(Assumptions!B56&lt;&gt;"",IFERROR(DATEVALUE(TEXT(Assumptions!B56,"MM/DD/YYYY")),0)&gt;=DATE(2030,2,1),IFERROR(DATEVALUE(TEXT(Assumptions!B56,"MM/DD/YYYY")),0)&lt;=DATE(2030,2,28)),1,0)+IF(AND(Assumptions!B57&lt;&gt;"",IFERROR(DATEVALUE(TEXT(Assumptions!B57,"MM/DD/YYYY")),0)&gt;=DATE(2030,2,1),IFERROR(DATEVALUE(TEXT(Assumptions!B57,"MM/DD/YYYY")),0)&lt;=DATE(2030,2,28)),1,0)+IF(AND(Assumptions!B58&lt;&gt;"",IFERROR(DATEVALUE(TEXT(Assumptions!B58,"MM/DD/YYYY")),0)&gt;=DATE(2030,2,1),IFERROR(DATEVALUE(TEXT(Assumptions!B58,"MM/DD/YYYY")),0)&lt;=DATE(2030,2,28)),1,0)+IF(AND(Assumptions!B59&lt;&gt;"",IFERROR(DATEVALUE(TEXT(Assumptions!B59,"MM/DD/YYYY")),0)&gt;=DATE(2030,2,1),IFERROR(DATEVALUE(TEXT(Assumptions!B59,"MM/DD/YYYY")),0)&lt;=DATE(2030,2,28)),1,0)+IF(AND(Assumptions!B60&lt;&gt;"",IFERROR(DATEVALUE(TEXT(Assumptions!B60,"MM/DD/YYYY")),0)&gt;=DATE(2030,2,1),IFERROR(DATEVALUE(TEXT(Assumptions!B60,"MM/DD/YYYY")),0)&lt;=DATE(2030,2,28)),1,0))&gt;0,0,-('Working Capital'!AQ6-'Working Capital'!AP6))</f>
        <v/>
      </c>
      <c r="AR10" s="156">
        <f>IF((IF(AND(Assumptions!B51&lt;&gt;"",IFERROR(DATEVALUE(TEXT(Assumptions!B51,"MM/DD/YYYY")),0)&gt;=DATE(2030,3,1),IFERROR(DATEVALUE(TEXT(Assumptions!B51,"MM/DD/YYYY")),0)&lt;=DATE(2030,3,31)),1,0)+IF(AND(Assumptions!B52&lt;&gt;"",IFERROR(DATEVALUE(TEXT(Assumptions!B52,"MM/DD/YYYY")),0)&gt;=DATE(2030,3,1),IFERROR(DATEVALUE(TEXT(Assumptions!B52,"MM/DD/YYYY")),0)&lt;=DATE(2030,3,31)),1,0)+IF(AND(Assumptions!B53&lt;&gt;"",IFERROR(DATEVALUE(TEXT(Assumptions!B53,"MM/DD/YYYY")),0)&gt;=DATE(2030,3,1),IFERROR(DATEVALUE(TEXT(Assumptions!B53,"MM/DD/YYYY")),0)&lt;=DATE(2030,3,31)),1,0)+IF(AND(Assumptions!B54&lt;&gt;"",IFERROR(DATEVALUE(TEXT(Assumptions!B54,"MM/DD/YYYY")),0)&gt;=DATE(2030,3,1),IFERROR(DATEVALUE(TEXT(Assumptions!B54,"MM/DD/YYYY")),0)&lt;=DATE(2030,3,31)),1,0)+IF(AND(Assumptions!B55&lt;&gt;"",IFERROR(DATEVALUE(TEXT(Assumptions!B55,"MM/DD/YYYY")),0)&gt;=DATE(2030,3,1),IFERROR(DATEVALUE(TEXT(Assumptions!B55,"MM/DD/YYYY")),0)&lt;=DATE(2030,3,31)),1,0)+IF(AND(Assumptions!B56&lt;&gt;"",IFERROR(DATEVALUE(TEXT(Assumptions!B56,"MM/DD/YYYY")),0)&gt;=DATE(2030,3,1),IFERROR(DATEVALUE(TEXT(Assumptions!B56,"MM/DD/YYYY")),0)&lt;=DATE(2030,3,31)),1,0)+IF(AND(Assumptions!B57&lt;&gt;"",IFERROR(DATEVALUE(TEXT(Assumptions!B57,"MM/DD/YYYY")),0)&gt;=DATE(2030,3,1),IFERROR(DATEVALUE(TEXT(Assumptions!B57,"MM/DD/YYYY")),0)&lt;=DATE(2030,3,31)),1,0)+IF(AND(Assumptions!B58&lt;&gt;"",IFERROR(DATEVALUE(TEXT(Assumptions!B58,"MM/DD/YYYY")),0)&gt;=DATE(2030,3,1),IFERROR(DATEVALUE(TEXT(Assumptions!B58,"MM/DD/YYYY")),0)&lt;=DATE(2030,3,31)),1,0)+IF(AND(Assumptions!B59&lt;&gt;"",IFERROR(DATEVALUE(TEXT(Assumptions!B59,"MM/DD/YYYY")),0)&gt;=DATE(2030,3,1),IFERROR(DATEVALUE(TEXT(Assumptions!B59,"MM/DD/YYYY")),0)&lt;=DATE(2030,3,31)),1,0)+IF(AND(Assumptions!B60&lt;&gt;"",IFERROR(DATEVALUE(TEXT(Assumptions!B60,"MM/DD/YYYY")),0)&gt;=DATE(2030,3,1),IFERROR(DATEVALUE(TEXT(Assumptions!B60,"MM/DD/YYYY")),0)&lt;=DATE(2030,3,31)),1,0))&gt;0,0,-('Working Capital'!AR6-'Working Capital'!AQ6))</f>
        <v/>
      </c>
      <c r="AS10" s="156">
        <f>IF((IF(AND(Assumptions!B51&lt;&gt;"",IFERROR(DATEVALUE(TEXT(Assumptions!B51,"MM/DD/YYYY")),0)&gt;=DATE(2030,4,1),IFERROR(DATEVALUE(TEXT(Assumptions!B51,"MM/DD/YYYY")),0)&lt;=DATE(2030,4,30)),1,0)+IF(AND(Assumptions!B52&lt;&gt;"",IFERROR(DATEVALUE(TEXT(Assumptions!B52,"MM/DD/YYYY")),0)&gt;=DATE(2030,4,1),IFERROR(DATEVALUE(TEXT(Assumptions!B52,"MM/DD/YYYY")),0)&lt;=DATE(2030,4,30)),1,0)+IF(AND(Assumptions!B53&lt;&gt;"",IFERROR(DATEVALUE(TEXT(Assumptions!B53,"MM/DD/YYYY")),0)&gt;=DATE(2030,4,1),IFERROR(DATEVALUE(TEXT(Assumptions!B53,"MM/DD/YYYY")),0)&lt;=DATE(2030,4,30)),1,0)+IF(AND(Assumptions!B54&lt;&gt;"",IFERROR(DATEVALUE(TEXT(Assumptions!B54,"MM/DD/YYYY")),0)&gt;=DATE(2030,4,1),IFERROR(DATEVALUE(TEXT(Assumptions!B54,"MM/DD/YYYY")),0)&lt;=DATE(2030,4,30)),1,0)+IF(AND(Assumptions!B55&lt;&gt;"",IFERROR(DATEVALUE(TEXT(Assumptions!B55,"MM/DD/YYYY")),0)&gt;=DATE(2030,4,1),IFERROR(DATEVALUE(TEXT(Assumptions!B55,"MM/DD/YYYY")),0)&lt;=DATE(2030,4,30)),1,0)+IF(AND(Assumptions!B56&lt;&gt;"",IFERROR(DATEVALUE(TEXT(Assumptions!B56,"MM/DD/YYYY")),0)&gt;=DATE(2030,4,1),IFERROR(DATEVALUE(TEXT(Assumptions!B56,"MM/DD/YYYY")),0)&lt;=DATE(2030,4,30)),1,0)+IF(AND(Assumptions!B57&lt;&gt;"",IFERROR(DATEVALUE(TEXT(Assumptions!B57,"MM/DD/YYYY")),0)&gt;=DATE(2030,4,1),IFERROR(DATEVALUE(TEXT(Assumptions!B57,"MM/DD/YYYY")),0)&lt;=DATE(2030,4,30)),1,0)+IF(AND(Assumptions!B58&lt;&gt;"",IFERROR(DATEVALUE(TEXT(Assumptions!B58,"MM/DD/YYYY")),0)&gt;=DATE(2030,4,1),IFERROR(DATEVALUE(TEXT(Assumptions!B58,"MM/DD/YYYY")),0)&lt;=DATE(2030,4,30)),1,0)+IF(AND(Assumptions!B59&lt;&gt;"",IFERROR(DATEVALUE(TEXT(Assumptions!B59,"MM/DD/YYYY")),0)&gt;=DATE(2030,4,1),IFERROR(DATEVALUE(TEXT(Assumptions!B59,"MM/DD/YYYY")),0)&lt;=DATE(2030,4,30)),1,0)+IF(AND(Assumptions!B60&lt;&gt;"",IFERROR(DATEVALUE(TEXT(Assumptions!B60,"MM/DD/YYYY")),0)&gt;=DATE(2030,4,1),IFERROR(DATEVALUE(TEXT(Assumptions!B60,"MM/DD/YYYY")),0)&lt;=DATE(2030,4,30)),1,0))&gt;0,0,-('Working Capital'!AS6-'Working Capital'!AR6))</f>
        <v/>
      </c>
      <c r="AT10" s="156">
        <f>IF((IF(AND(Assumptions!B51&lt;&gt;"",IFERROR(DATEVALUE(TEXT(Assumptions!B51,"MM/DD/YYYY")),0)&gt;=DATE(2030,5,1),IFERROR(DATEVALUE(TEXT(Assumptions!B51,"MM/DD/YYYY")),0)&lt;=DATE(2030,5,31)),1,0)+IF(AND(Assumptions!B52&lt;&gt;"",IFERROR(DATEVALUE(TEXT(Assumptions!B52,"MM/DD/YYYY")),0)&gt;=DATE(2030,5,1),IFERROR(DATEVALUE(TEXT(Assumptions!B52,"MM/DD/YYYY")),0)&lt;=DATE(2030,5,31)),1,0)+IF(AND(Assumptions!B53&lt;&gt;"",IFERROR(DATEVALUE(TEXT(Assumptions!B53,"MM/DD/YYYY")),0)&gt;=DATE(2030,5,1),IFERROR(DATEVALUE(TEXT(Assumptions!B53,"MM/DD/YYYY")),0)&lt;=DATE(2030,5,31)),1,0)+IF(AND(Assumptions!B54&lt;&gt;"",IFERROR(DATEVALUE(TEXT(Assumptions!B54,"MM/DD/YYYY")),0)&gt;=DATE(2030,5,1),IFERROR(DATEVALUE(TEXT(Assumptions!B54,"MM/DD/YYYY")),0)&lt;=DATE(2030,5,31)),1,0)+IF(AND(Assumptions!B55&lt;&gt;"",IFERROR(DATEVALUE(TEXT(Assumptions!B55,"MM/DD/YYYY")),0)&gt;=DATE(2030,5,1),IFERROR(DATEVALUE(TEXT(Assumptions!B55,"MM/DD/YYYY")),0)&lt;=DATE(2030,5,31)),1,0)+IF(AND(Assumptions!B56&lt;&gt;"",IFERROR(DATEVALUE(TEXT(Assumptions!B56,"MM/DD/YYYY")),0)&gt;=DATE(2030,5,1),IFERROR(DATEVALUE(TEXT(Assumptions!B56,"MM/DD/YYYY")),0)&lt;=DATE(2030,5,31)),1,0)+IF(AND(Assumptions!B57&lt;&gt;"",IFERROR(DATEVALUE(TEXT(Assumptions!B57,"MM/DD/YYYY")),0)&gt;=DATE(2030,5,1),IFERROR(DATEVALUE(TEXT(Assumptions!B57,"MM/DD/YYYY")),0)&lt;=DATE(2030,5,31)),1,0)+IF(AND(Assumptions!B58&lt;&gt;"",IFERROR(DATEVALUE(TEXT(Assumptions!B58,"MM/DD/YYYY")),0)&gt;=DATE(2030,5,1),IFERROR(DATEVALUE(TEXT(Assumptions!B58,"MM/DD/YYYY")),0)&lt;=DATE(2030,5,31)),1,0)+IF(AND(Assumptions!B59&lt;&gt;"",IFERROR(DATEVALUE(TEXT(Assumptions!B59,"MM/DD/YYYY")),0)&gt;=DATE(2030,5,1),IFERROR(DATEVALUE(TEXT(Assumptions!B59,"MM/DD/YYYY")),0)&lt;=DATE(2030,5,31)),1,0)+IF(AND(Assumptions!B60&lt;&gt;"",IFERROR(DATEVALUE(TEXT(Assumptions!B60,"MM/DD/YYYY")),0)&gt;=DATE(2030,5,1),IFERROR(DATEVALUE(TEXT(Assumptions!B60,"MM/DD/YYYY")),0)&lt;=DATE(2030,5,31)),1,0))&gt;0,0,-('Working Capital'!AT6-'Working Capital'!AS6))</f>
        <v/>
      </c>
      <c r="AU10" s="156">
        <f>IF((IF(AND(Assumptions!B51&lt;&gt;"",IFERROR(DATEVALUE(TEXT(Assumptions!B51,"MM/DD/YYYY")),0)&gt;=DATE(2030,6,1),IFERROR(DATEVALUE(TEXT(Assumptions!B51,"MM/DD/YYYY")),0)&lt;=DATE(2030,6,30)),1,0)+IF(AND(Assumptions!B52&lt;&gt;"",IFERROR(DATEVALUE(TEXT(Assumptions!B52,"MM/DD/YYYY")),0)&gt;=DATE(2030,6,1),IFERROR(DATEVALUE(TEXT(Assumptions!B52,"MM/DD/YYYY")),0)&lt;=DATE(2030,6,30)),1,0)+IF(AND(Assumptions!B53&lt;&gt;"",IFERROR(DATEVALUE(TEXT(Assumptions!B53,"MM/DD/YYYY")),0)&gt;=DATE(2030,6,1),IFERROR(DATEVALUE(TEXT(Assumptions!B53,"MM/DD/YYYY")),0)&lt;=DATE(2030,6,30)),1,0)+IF(AND(Assumptions!B54&lt;&gt;"",IFERROR(DATEVALUE(TEXT(Assumptions!B54,"MM/DD/YYYY")),0)&gt;=DATE(2030,6,1),IFERROR(DATEVALUE(TEXT(Assumptions!B54,"MM/DD/YYYY")),0)&lt;=DATE(2030,6,30)),1,0)+IF(AND(Assumptions!B55&lt;&gt;"",IFERROR(DATEVALUE(TEXT(Assumptions!B55,"MM/DD/YYYY")),0)&gt;=DATE(2030,6,1),IFERROR(DATEVALUE(TEXT(Assumptions!B55,"MM/DD/YYYY")),0)&lt;=DATE(2030,6,30)),1,0)+IF(AND(Assumptions!B56&lt;&gt;"",IFERROR(DATEVALUE(TEXT(Assumptions!B56,"MM/DD/YYYY")),0)&gt;=DATE(2030,6,1),IFERROR(DATEVALUE(TEXT(Assumptions!B56,"MM/DD/YYYY")),0)&lt;=DATE(2030,6,30)),1,0)+IF(AND(Assumptions!B57&lt;&gt;"",IFERROR(DATEVALUE(TEXT(Assumptions!B57,"MM/DD/YYYY")),0)&gt;=DATE(2030,6,1),IFERROR(DATEVALUE(TEXT(Assumptions!B57,"MM/DD/YYYY")),0)&lt;=DATE(2030,6,30)),1,0)+IF(AND(Assumptions!B58&lt;&gt;"",IFERROR(DATEVALUE(TEXT(Assumptions!B58,"MM/DD/YYYY")),0)&gt;=DATE(2030,6,1),IFERROR(DATEVALUE(TEXT(Assumptions!B58,"MM/DD/YYYY")),0)&lt;=DATE(2030,6,30)),1,0)+IF(AND(Assumptions!B59&lt;&gt;"",IFERROR(DATEVALUE(TEXT(Assumptions!B59,"MM/DD/YYYY")),0)&gt;=DATE(2030,6,1),IFERROR(DATEVALUE(TEXT(Assumptions!B59,"MM/DD/YYYY")),0)&lt;=DATE(2030,6,30)),1,0)+IF(AND(Assumptions!B60&lt;&gt;"",IFERROR(DATEVALUE(TEXT(Assumptions!B60,"MM/DD/YYYY")),0)&gt;=DATE(2030,6,1),IFERROR(DATEVALUE(TEXT(Assumptions!B60,"MM/DD/YYYY")),0)&lt;=DATE(2030,6,30)),1,0))&gt;0,0,-('Working Capital'!AU6-'Working Capital'!AT6))</f>
        <v/>
      </c>
      <c r="AV10" s="156">
        <f>IF((IF(AND(Assumptions!B51&lt;&gt;"",IFERROR(DATEVALUE(TEXT(Assumptions!B51,"MM/DD/YYYY")),0)&gt;=DATE(2030,7,1),IFERROR(DATEVALUE(TEXT(Assumptions!B51,"MM/DD/YYYY")),0)&lt;=DATE(2030,7,31)),1,0)+IF(AND(Assumptions!B52&lt;&gt;"",IFERROR(DATEVALUE(TEXT(Assumptions!B52,"MM/DD/YYYY")),0)&gt;=DATE(2030,7,1),IFERROR(DATEVALUE(TEXT(Assumptions!B52,"MM/DD/YYYY")),0)&lt;=DATE(2030,7,31)),1,0)+IF(AND(Assumptions!B53&lt;&gt;"",IFERROR(DATEVALUE(TEXT(Assumptions!B53,"MM/DD/YYYY")),0)&gt;=DATE(2030,7,1),IFERROR(DATEVALUE(TEXT(Assumptions!B53,"MM/DD/YYYY")),0)&lt;=DATE(2030,7,31)),1,0)+IF(AND(Assumptions!B54&lt;&gt;"",IFERROR(DATEVALUE(TEXT(Assumptions!B54,"MM/DD/YYYY")),0)&gt;=DATE(2030,7,1),IFERROR(DATEVALUE(TEXT(Assumptions!B54,"MM/DD/YYYY")),0)&lt;=DATE(2030,7,31)),1,0)+IF(AND(Assumptions!B55&lt;&gt;"",IFERROR(DATEVALUE(TEXT(Assumptions!B55,"MM/DD/YYYY")),0)&gt;=DATE(2030,7,1),IFERROR(DATEVALUE(TEXT(Assumptions!B55,"MM/DD/YYYY")),0)&lt;=DATE(2030,7,31)),1,0)+IF(AND(Assumptions!B56&lt;&gt;"",IFERROR(DATEVALUE(TEXT(Assumptions!B56,"MM/DD/YYYY")),0)&gt;=DATE(2030,7,1),IFERROR(DATEVALUE(TEXT(Assumptions!B56,"MM/DD/YYYY")),0)&lt;=DATE(2030,7,31)),1,0)+IF(AND(Assumptions!B57&lt;&gt;"",IFERROR(DATEVALUE(TEXT(Assumptions!B57,"MM/DD/YYYY")),0)&gt;=DATE(2030,7,1),IFERROR(DATEVALUE(TEXT(Assumptions!B57,"MM/DD/YYYY")),0)&lt;=DATE(2030,7,31)),1,0)+IF(AND(Assumptions!B58&lt;&gt;"",IFERROR(DATEVALUE(TEXT(Assumptions!B58,"MM/DD/YYYY")),0)&gt;=DATE(2030,7,1),IFERROR(DATEVALUE(TEXT(Assumptions!B58,"MM/DD/YYYY")),0)&lt;=DATE(2030,7,31)),1,0)+IF(AND(Assumptions!B59&lt;&gt;"",IFERROR(DATEVALUE(TEXT(Assumptions!B59,"MM/DD/YYYY")),0)&gt;=DATE(2030,7,1),IFERROR(DATEVALUE(TEXT(Assumptions!B59,"MM/DD/YYYY")),0)&lt;=DATE(2030,7,31)),1,0)+IF(AND(Assumptions!B60&lt;&gt;"",IFERROR(DATEVALUE(TEXT(Assumptions!B60,"MM/DD/YYYY")),0)&gt;=DATE(2030,7,1),IFERROR(DATEVALUE(TEXT(Assumptions!B60,"MM/DD/YYYY")),0)&lt;=DATE(2030,7,31)),1,0))&gt;0,0,-('Working Capital'!AV6-'Working Capital'!AU6))</f>
        <v/>
      </c>
      <c r="AW10" s="156">
        <f>IF((IF(AND(Assumptions!B51&lt;&gt;"",IFERROR(DATEVALUE(TEXT(Assumptions!B51,"MM/DD/YYYY")),0)&gt;=DATE(2030,8,1),IFERROR(DATEVALUE(TEXT(Assumptions!B51,"MM/DD/YYYY")),0)&lt;=DATE(2030,8,31)),1,0)+IF(AND(Assumptions!B52&lt;&gt;"",IFERROR(DATEVALUE(TEXT(Assumptions!B52,"MM/DD/YYYY")),0)&gt;=DATE(2030,8,1),IFERROR(DATEVALUE(TEXT(Assumptions!B52,"MM/DD/YYYY")),0)&lt;=DATE(2030,8,31)),1,0)+IF(AND(Assumptions!B53&lt;&gt;"",IFERROR(DATEVALUE(TEXT(Assumptions!B53,"MM/DD/YYYY")),0)&gt;=DATE(2030,8,1),IFERROR(DATEVALUE(TEXT(Assumptions!B53,"MM/DD/YYYY")),0)&lt;=DATE(2030,8,31)),1,0)+IF(AND(Assumptions!B54&lt;&gt;"",IFERROR(DATEVALUE(TEXT(Assumptions!B54,"MM/DD/YYYY")),0)&gt;=DATE(2030,8,1),IFERROR(DATEVALUE(TEXT(Assumptions!B54,"MM/DD/YYYY")),0)&lt;=DATE(2030,8,31)),1,0)+IF(AND(Assumptions!B55&lt;&gt;"",IFERROR(DATEVALUE(TEXT(Assumptions!B55,"MM/DD/YYYY")),0)&gt;=DATE(2030,8,1),IFERROR(DATEVALUE(TEXT(Assumptions!B55,"MM/DD/YYYY")),0)&lt;=DATE(2030,8,31)),1,0)+IF(AND(Assumptions!B56&lt;&gt;"",IFERROR(DATEVALUE(TEXT(Assumptions!B56,"MM/DD/YYYY")),0)&gt;=DATE(2030,8,1),IFERROR(DATEVALUE(TEXT(Assumptions!B56,"MM/DD/YYYY")),0)&lt;=DATE(2030,8,31)),1,0)+IF(AND(Assumptions!B57&lt;&gt;"",IFERROR(DATEVALUE(TEXT(Assumptions!B57,"MM/DD/YYYY")),0)&gt;=DATE(2030,8,1),IFERROR(DATEVALUE(TEXT(Assumptions!B57,"MM/DD/YYYY")),0)&lt;=DATE(2030,8,31)),1,0)+IF(AND(Assumptions!B58&lt;&gt;"",IFERROR(DATEVALUE(TEXT(Assumptions!B58,"MM/DD/YYYY")),0)&gt;=DATE(2030,8,1),IFERROR(DATEVALUE(TEXT(Assumptions!B58,"MM/DD/YYYY")),0)&lt;=DATE(2030,8,31)),1,0)+IF(AND(Assumptions!B59&lt;&gt;"",IFERROR(DATEVALUE(TEXT(Assumptions!B59,"MM/DD/YYYY")),0)&gt;=DATE(2030,8,1),IFERROR(DATEVALUE(TEXT(Assumptions!B59,"MM/DD/YYYY")),0)&lt;=DATE(2030,8,31)),1,0)+IF(AND(Assumptions!B60&lt;&gt;"",IFERROR(DATEVALUE(TEXT(Assumptions!B60,"MM/DD/YYYY")),0)&gt;=DATE(2030,8,1),IFERROR(DATEVALUE(TEXT(Assumptions!B60,"MM/DD/YYYY")),0)&lt;=DATE(2030,8,31)),1,0))&gt;0,0,-('Working Capital'!AW6-'Working Capital'!AV6))</f>
        <v/>
      </c>
      <c r="AX10" s="156">
        <f>IF((IF(AND(Assumptions!B51&lt;&gt;"",IFERROR(DATEVALUE(TEXT(Assumptions!B51,"MM/DD/YYYY")),0)&gt;=DATE(2030,9,1),IFERROR(DATEVALUE(TEXT(Assumptions!B51,"MM/DD/YYYY")),0)&lt;=DATE(2030,9,30)),1,0)+IF(AND(Assumptions!B52&lt;&gt;"",IFERROR(DATEVALUE(TEXT(Assumptions!B52,"MM/DD/YYYY")),0)&gt;=DATE(2030,9,1),IFERROR(DATEVALUE(TEXT(Assumptions!B52,"MM/DD/YYYY")),0)&lt;=DATE(2030,9,30)),1,0)+IF(AND(Assumptions!B53&lt;&gt;"",IFERROR(DATEVALUE(TEXT(Assumptions!B53,"MM/DD/YYYY")),0)&gt;=DATE(2030,9,1),IFERROR(DATEVALUE(TEXT(Assumptions!B53,"MM/DD/YYYY")),0)&lt;=DATE(2030,9,30)),1,0)+IF(AND(Assumptions!B54&lt;&gt;"",IFERROR(DATEVALUE(TEXT(Assumptions!B54,"MM/DD/YYYY")),0)&gt;=DATE(2030,9,1),IFERROR(DATEVALUE(TEXT(Assumptions!B54,"MM/DD/YYYY")),0)&lt;=DATE(2030,9,30)),1,0)+IF(AND(Assumptions!B55&lt;&gt;"",IFERROR(DATEVALUE(TEXT(Assumptions!B55,"MM/DD/YYYY")),0)&gt;=DATE(2030,9,1),IFERROR(DATEVALUE(TEXT(Assumptions!B55,"MM/DD/YYYY")),0)&lt;=DATE(2030,9,30)),1,0)+IF(AND(Assumptions!B56&lt;&gt;"",IFERROR(DATEVALUE(TEXT(Assumptions!B56,"MM/DD/YYYY")),0)&gt;=DATE(2030,9,1),IFERROR(DATEVALUE(TEXT(Assumptions!B56,"MM/DD/YYYY")),0)&lt;=DATE(2030,9,30)),1,0)+IF(AND(Assumptions!B57&lt;&gt;"",IFERROR(DATEVALUE(TEXT(Assumptions!B57,"MM/DD/YYYY")),0)&gt;=DATE(2030,9,1),IFERROR(DATEVALUE(TEXT(Assumptions!B57,"MM/DD/YYYY")),0)&lt;=DATE(2030,9,30)),1,0)+IF(AND(Assumptions!B58&lt;&gt;"",IFERROR(DATEVALUE(TEXT(Assumptions!B58,"MM/DD/YYYY")),0)&gt;=DATE(2030,9,1),IFERROR(DATEVALUE(TEXT(Assumptions!B58,"MM/DD/YYYY")),0)&lt;=DATE(2030,9,30)),1,0)+IF(AND(Assumptions!B59&lt;&gt;"",IFERROR(DATEVALUE(TEXT(Assumptions!B59,"MM/DD/YYYY")),0)&gt;=DATE(2030,9,1),IFERROR(DATEVALUE(TEXT(Assumptions!B59,"MM/DD/YYYY")),0)&lt;=DATE(2030,9,30)),1,0)+IF(AND(Assumptions!B60&lt;&gt;"",IFERROR(DATEVALUE(TEXT(Assumptions!B60,"MM/DD/YYYY")),0)&gt;=DATE(2030,9,1),IFERROR(DATEVALUE(TEXT(Assumptions!B60,"MM/DD/YYYY")),0)&lt;=DATE(2030,9,30)),1,0))&gt;0,0,-('Working Capital'!AX6-'Working Capital'!AW6))</f>
        <v/>
      </c>
      <c r="AY10" s="156">
        <f>IF((IF(AND(Assumptions!B51&lt;&gt;"",IFERROR(DATEVALUE(TEXT(Assumptions!B51,"MM/DD/YYYY")),0)&gt;=DATE(2030,10,1),IFERROR(DATEVALUE(TEXT(Assumptions!B51,"MM/DD/YYYY")),0)&lt;=DATE(2030,10,31)),1,0)+IF(AND(Assumptions!B52&lt;&gt;"",IFERROR(DATEVALUE(TEXT(Assumptions!B52,"MM/DD/YYYY")),0)&gt;=DATE(2030,10,1),IFERROR(DATEVALUE(TEXT(Assumptions!B52,"MM/DD/YYYY")),0)&lt;=DATE(2030,10,31)),1,0)+IF(AND(Assumptions!B53&lt;&gt;"",IFERROR(DATEVALUE(TEXT(Assumptions!B53,"MM/DD/YYYY")),0)&gt;=DATE(2030,10,1),IFERROR(DATEVALUE(TEXT(Assumptions!B53,"MM/DD/YYYY")),0)&lt;=DATE(2030,10,31)),1,0)+IF(AND(Assumptions!B54&lt;&gt;"",IFERROR(DATEVALUE(TEXT(Assumptions!B54,"MM/DD/YYYY")),0)&gt;=DATE(2030,10,1),IFERROR(DATEVALUE(TEXT(Assumptions!B54,"MM/DD/YYYY")),0)&lt;=DATE(2030,10,31)),1,0)+IF(AND(Assumptions!B55&lt;&gt;"",IFERROR(DATEVALUE(TEXT(Assumptions!B55,"MM/DD/YYYY")),0)&gt;=DATE(2030,10,1),IFERROR(DATEVALUE(TEXT(Assumptions!B55,"MM/DD/YYYY")),0)&lt;=DATE(2030,10,31)),1,0)+IF(AND(Assumptions!B56&lt;&gt;"",IFERROR(DATEVALUE(TEXT(Assumptions!B56,"MM/DD/YYYY")),0)&gt;=DATE(2030,10,1),IFERROR(DATEVALUE(TEXT(Assumptions!B56,"MM/DD/YYYY")),0)&lt;=DATE(2030,10,31)),1,0)+IF(AND(Assumptions!B57&lt;&gt;"",IFERROR(DATEVALUE(TEXT(Assumptions!B57,"MM/DD/YYYY")),0)&gt;=DATE(2030,10,1),IFERROR(DATEVALUE(TEXT(Assumptions!B57,"MM/DD/YYYY")),0)&lt;=DATE(2030,10,31)),1,0)+IF(AND(Assumptions!B58&lt;&gt;"",IFERROR(DATEVALUE(TEXT(Assumptions!B58,"MM/DD/YYYY")),0)&gt;=DATE(2030,10,1),IFERROR(DATEVALUE(TEXT(Assumptions!B58,"MM/DD/YYYY")),0)&lt;=DATE(2030,10,31)),1,0)+IF(AND(Assumptions!B59&lt;&gt;"",IFERROR(DATEVALUE(TEXT(Assumptions!B59,"MM/DD/YYYY")),0)&gt;=DATE(2030,10,1),IFERROR(DATEVALUE(TEXT(Assumptions!B59,"MM/DD/YYYY")),0)&lt;=DATE(2030,10,31)),1,0)+IF(AND(Assumptions!B60&lt;&gt;"",IFERROR(DATEVALUE(TEXT(Assumptions!B60,"MM/DD/YYYY")),0)&gt;=DATE(2030,10,1),IFERROR(DATEVALUE(TEXT(Assumptions!B60,"MM/DD/YYYY")),0)&lt;=DATE(2030,10,31)),1,0))&gt;0,0,-('Working Capital'!AY6-'Working Capital'!AX6))</f>
        <v/>
      </c>
      <c r="AZ10" s="156">
        <f>IF((IF(AND(Assumptions!B51&lt;&gt;"",IFERROR(DATEVALUE(TEXT(Assumptions!B51,"MM/DD/YYYY")),0)&gt;=DATE(2030,11,1),IFERROR(DATEVALUE(TEXT(Assumptions!B51,"MM/DD/YYYY")),0)&lt;=DATE(2030,11,30)),1,0)+IF(AND(Assumptions!B52&lt;&gt;"",IFERROR(DATEVALUE(TEXT(Assumptions!B52,"MM/DD/YYYY")),0)&gt;=DATE(2030,11,1),IFERROR(DATEVALUE(TEXT(Assumptions!B52,"MM/DD/YYYY")),0)&lt;=DATE(2030,11,30)),1,0)+IF(AND(Assumptions!B53&lt;&gt;"",IFERROR(DATEVALUE(TEXT(Assumptions!B53,"MM/DD/YYYY")),0)&gt;=DATE(2030,11,1),IFERROR(DATEVALUE(TEXT(Assumptions!B53,"MM/DD/YYYY")),0)&lt;=DATE(2030,11,30)),1,0)+IF(AND(Assumptions!B54&lt;&gt;"",IFERROR(DATEVALUE(TEXT(Assumptions!B54,"MM/DD/YYYY")),0)&gt;=DATE(2030,11,1),IFERROR(DATEVALUE(TEXT(Assumptions!B54,"MM/DD/YYYY")),0)&lt;=DATE(2030,11,30)),1,0)+IF(AND(Assumptions!B55&lt;&gt;"",IFERROR(DATEVALUE(TEXT(Assumptions!B55,"MM/DD/YYYY")),0)&gt;=DATE(2030,11,1),IFERROR(DATEVALUE(TEXT(Assumptions!B55,"MM/DD/YYYY")),0)&lt;=DATE(2030,11,30)),1,0)+IF(AND(Assumptions!B56&lt;&gt;"",IFERROR(DATEVALUE(TEXT(Assumptions!B56,"MM/DD/YYYY")),0)&gt;=DATE(2030,11,1),IFERROR(DATEVALUE(TEXT(Assumptions!B56,"MM/DD/YYYY")),0)&lt;=DATE(2030,11,30)),1,0)+IF(AND(Assumptions!B57&lt;&gt;"",IFERROR(DATEVALUE(TEXT(Assumptions!B57,"MM/DD/YYYY")),0)&gt;=DATE(2030,11,1),IFERROR(DATEVALUE(TEXT(Assumptions!B57,"MM/DD/YYYY")),0)&lt;=DATE(2030,11,30)),1,0)+IF(AND(Assumptions!B58&lt;&gt;"",IFERROR(DATEVALUE(TEXT(Assumptions!B58,"MM/DD/YYYY")),0)&gt;=DATE(2030,11,1),IFERROR(DATEVALUE(TEXT(Assumptions!B58,"MM/DD/YYYY")),0)&lt;=DATE(2030,11,30)),1,0)+IF(AND(Assumptions!B59&lt;&gt;"",IFERROR(DATEVALUE(TEXT(Assumptions!B59,"MM/DD/YYYY")),0)&gt;=DATE(2030,11,1),IFERROR(DATEVALUE(TEXT(Assumptions!B59,"MM/DD/YYYY")),0)&lt;=DATE(2030,11,30)),1,0)+IF(AND(Assumptions!B60&lt;&gt;"",IFERROR(DATEVALUE(TEXT(Assumptions!B60,"MM/DD/YYYY")),0)&gt;=DATE(2030,11,1),IFERROR(DATEVALUE(TEXT(Assumptions!B60,"MM/DD/YYYY")),0)&lt;=DATE(2030,11,30)),1,0))&gt;0,0,-('Working Capital'!AZ6-'Working Capital'!AY6))</f>
        <v/>
      </c>
      <c r="BA10" s="156">
        <f>IF((IF(AND(Assumptions!B51&lt;&gt;"",IFERROR(DATEVALUE(TEXT(Assumptions!B51,"MM/DD/YYYY")),0)&gt;=DATE(2030,12,1),IFERROR(DATEVALUE(TEXT(Assumptions!B51,"MM/DD/YYYY")),0)&lt;=DATE(2030,12,31)),1,0)+IF(AND(Assumptions!B52&lt;&gt;"",IFERROR(DATEVALUE(TEXT(Assumptions!B52,"MM/DD/YYYY")),0)&gt;=DATE(2030,12,1),IFERROR(DATEVALUE(TEXT(Assumptions!B52,"MM/DD/YYYY")),0)&lt;=DATE(2030,12,31)),1,0)+IF(AND(Assumptions!B53&lt;&gt;"",IFERROR(DATEVALUE(TEXT(Assumptions!B53,"MM/DD/YYYY")),0)&gt;=DATE(2030,12,1),IFERROR(DATEVALUE(TEXT(Assumptions!B53,"MM/DD/YYYY")),0)&lt;=DATE(2030,12,31)),1,0)+IF(AND(Assumptions!B54&lt;&gt;"",IFERROR(DATEVALUE(TEXT(Assumptions!B54,"MM/DD/YYYY")),0)&gt;=DATE(2030,12,1),IFERROR(DATEVALUE(TEXT(Assumptions!B54,"MM/DD/YYYY")),0)&lt;=DATE(2030,12,31)),1,0)+IF(AND(Assumptions!B55&lt;&gt;"",IFERROR(DATEVALUE(TEXT(Assumptions!B55,"MM/DD/YYYY")),0)&gt;=DATE(2030,12,1),IFERROR(DATEVALUE(TEXT(Assumptions!B55,"MM/DD/YYYY")),0)&lt;=DATE(2030,12,31)),1,0)+IF(AND(Assumptions!B56&lt;&gt;"",IFERROR(DATEVALUE(TEXT(Assumptions!B56,"MM/DD/YYYY")),0)&gt;=DATE(2030,12,1),IFERROR(DATEVALUE(TEXT(Assumptions!B56,"MM/DD/YYYY")),0)&lt;=DATE(2030,12,31)),1,0)+IF(AND(Assumptions!B57&lt;&gt;"",IFERROR(DATEVALUE(TEXT(Assumptions!B57,"MM/DD/YYYY")),0)&gt;=DATE(2030,12,1),IFERROR(DATEVALUE(TEXT(Assumptions!B57,"MM/DD/YYYY")),0)&lt;=DATE(2030,12,31)),1,0)+IF(AND(Assumptions!B58&lt;&gt;"",IFERROR(DATEVALUE(TEXT(Assumptions!B58,"MM/DD/YYYY")),0)&gt;=DATE(2030,12,1),IFERROR(DATEVALUE(TEXT(Assumptions!B58,"MM/DD/YYYY")),0)&lt;=DATE(2030,12,31)),1,0)+IF(AND(Assumptions!B59&lt;&gt;"",IFERROR(DATEVALUE(TEXT(Assumptions!B59,"MM/DD/YYYY")),0)&gt;=DATE(2030,12,1),IFERROR(DATEVALUE(TEXT(Assumptions!B59,"MM/DD/YYYY")),0)&lt;=DATE(2030,12,31)),1,0)+IF(AND(Assumptions!B60&lt;&gt;"",IFERROR(DATEVALUE(TEXT(Assumptions!B60,"MM/DD/YYYY")),0)&gt;=DATE(2030,12,1),IFERROR(DATEVALUE(TEXT(Assumptions!B60,"MM/DD/YYYY")),0)&lt;=DATE(2030,12,31)),1,0))&gt;0,0,-('Working Capital'!BA6-'Working Capital'!AZ6))</f>
        <v/>
      </c>
      <c r="BB10" s="156">
        <f>IF((IF(AND(Assumptions!B51&lt;&gt;"",IFERROR(DATEVALUE(TEXT(Assumptions!B51,"MM/DD/YYYY")),0)&gt;=DATE(2031,1,1),IFERROR(DATEVALUE(TEXT(Assumptions!B51,"MM/DD/YYYY")),0)&lt;=DATE(2031,1,31)),1,0)+IF(AND(Assumptions!B52&lt;&gt;"",IFERROR(DATEVALUE(TEXT(Assumptions!B52,"MM/DD/YYYY")),0)&gt;=DATE(2031,1,1),IFERROR(DATEVALUE(TEXT(Assumptions!B52,"MM/DD/YYYY")),0)&lt;=DATE(2031,1,31)),1,0)+IF(AND(Assumptions!B53&lt;&gt;"",IFERROR(DATEVALUE(TEXT(Assumptions!B53,"MM/DD/YYYY")),0)&gt;=DATE(2031,1,1),IFERROR(DATEVALUE(TEXT(Assumptions!B53,"MM/DD/YYYY")),0)&lt;=DATE(2031,1,31)),1,0)+IF(AND(Assumptions!B54&lt;&gt;"",IFERROR(DATEVALUE(TEXT(Assumptions!B54,"MM/DD/YYYY")),0)&gt;=DATE(2031,1,1),IFERROR(DATEVALUE(TEXT(Assumptions!B54,"MM/DD/YYYY")),0)&lt;=DATE(2031,1,31)),1,0)+IF(AND(Assumptions!B55&lt;&gt;"",IFERROR(DATEVALUE(TEXT(Assumptions!B55,"MM/DD/YYYY")),0)&gt;=DATE(2031,1,1),IFERROR(DATEVALUE(TEXT(Assumptions!B55,"MM/DD/YYYY")),0)&lt;=DATE(2031,1,31)),1,0)+IF(AND(Assumptions!B56&lt;&gt;"",IFERROR(DATEVALUE(TEXT(Assumptions!B56,"MM/DD/YYYY")),0)&gt;=DATE(2031,1,1),IFERROR(DATEVALUE(TEXT(Assumptions!B56,"MM/DD/YYYY")),0)&lt;=DATE(2031,1,31)),1,0)+IF(AND(Assumptions!B57&lt;&gt;"",IFERROR(DATEVALUE(TEXT(Assumptions!B57,"MM/DD/YYYY")),0)&gt;=DATE(2031,1,1),IFERROR(DATEVALUE(TEXT(Assumptions!B57,"MM/DD/YYYY")),0)&lt;=DATE(2031,1,31)),1,0)+IF(AND(Assumptions!B58&lt;&gt;"",IFERROR(DATEVALUE(TEXT(Assumptions!B58,"MM/DD/YYYY")),0)&gt;=DATE(2031,1,1),IFERROR(DATEVALUE(TEXT(Assumptions!B58,"MM/DD/YYYY")),0)&lt;=DATE(2031,1,31)),1,0)+IF(AND(Assumptions!B59&lt;&gt;"",IFERROR(DATEVALUE(TEXT(Assumptions!B59,"MM/DD/YYYY")),0)&gt;=DATE(2031,1,1),IFERROR(DATEVALUE(TEXT(Assumptions!B59,"MM/DD/YYYY")),0)&lt;=DATE(2031,1,31)),1,0)+IF(AND(Assumptions!B60&lt;&gt;"",IFERROR(DATEVALUE(TEXT(Assumptions!B60,"MM/DD/YYYY")),0)&gt;=DATE(2031,1,1),IFERROR(DATEVALUE(TEXT(Assumptions!B60,"MM/DD/YYYY")),0)&lt;=DATE(2031,1,31)),1,0))&gt;0,0,-('Working Capital'!BB6-'Working Capital'!BA6))</f>
        <v/>
      </c>
      <c r="BC10" s="156">
        <f>IF((IF(AND(Assumptions!B51&lt;&gt;"",IFERROR(DATEVALUE(TEXT(Assumptions!B51,"MM/DD/YYYY")),0)&gt;=DATE(2031,2,1),IFERROR(DATEVALUE(TEXT(Assumptions!B51,"MM/DD/YYYY")),0)&lt;=DATE(2031,2,28)),1,0)+IF(AND(Assumptions!B52&lt;&gt;"",IFERROR(DATEVALUE(TEXT(Assumptions!B52,"MM/DD/YYYY")),0)&gt;=DATE(2031,2,1),IFERROR(DATEVALUE(TEXT(Assumptions!B52,"MM/DD/YYYY")),0)&lt;=DATE(2031,2,28)),1,0)+IF(AND(Assumptions!B53&lt;&gt;"",IFERROR(DATEVALUE(TEXT(Assumptions!B53,"MM/DD/YYYY")),0)&gt;=DATE(2031,2,1),IFERROR(DATEVALUE(TEXT(Assumptions!B53,"MM/DD/YYYY")),0)&lt;=DATE(2031,2,28)),1,0)+IF(AND(Assumptions!B54&lt;&gt;"",IFERROR(DATEVALUE(TEXT(Assumptions!B54,"MM/DD/YYYY")),0)&gt;=DATE(2031,2,1),IFERROR(DATEVALUE(TEXT(Assumptions!B54,"MM/DD/YYYY")),0)&lt;=DATE(2031,2,28)),1,0)+IF(AND(Assumptions!B55&lt;&gt;"",IFERROR(DATEVALUE(TEXT(Assumptions!B55,"MM/DD/YYYY")),0)&gt;=DATE(2031,2,1),IFERROR(DATEVALUE(TEXT(Assumptions!B55,"MM/DD/YYYY")),0)&lt;=DATE(2031,2,28)),1,0)+IF(AND(Assumptions!B56&lt;&gt;"",IFERROR(DATEVALUE(TEXT(Assumptions!B56,"MM/DD/YYYY")),0)&gt;=DATE(2031,2,1),IFERROR(DATEVALUE(TEXT(Assumptions!B56,"MM/DD/YYYY")),0)&lt;=DATE(2031,2,28)),1,0)+IF(AND(Assumptions!B57&lt;&gt;"",IFERROR(DATEVALUE(TEXT(Assumptions!B57,"MM/DD/YYYY")),0)&gt;=DATE(2031,2,1),IFERROR(DATEVALUE(TEXT(Assumptions!B57,"MM/DD/YYYY")),0)&lt;=DATE(2031,2,28)),1,0)+IF(AND(Assumptions!B58&lt;&gt;"",IFERROR(DATEVALUE(TEXT(Assumptions!B58,"MM/DD/YYYY")),0)&gt;=DATE(2031,2,1),IFERROR(DATEVALUE(TEXT(Assumptions!B58,"MM/DD/YYYY")),0)&lt;=DATE(2031,2,28)),1,0)+IF(AND(Assumptions!B59&lt;&gt;"",IFERROR(DATEVALUE(TEXT(Assumptions!B59,"MM/DD/YYYY")),0)&gt;=DATE(2031,2,1),IFERROR(DATEVALUE(TEXT(Assumptions!B59,"MM/DD/YYYY")),0)&lt;=DATE(2031,2,28)),1,0)+IF(AND(Assumptions!B60&lt;&gt;"",IFERROR(DATEVALUE(TEXT(Assumptions!B60,"MM/DD/YYYY")),0)&gt;=DATE(2031,2,1),IFERROR(DATEVALUE(TEXT(Assumptions!B60,"MM/DD/YYYY")),0)&lt;=DATE(2031,2,28)),1,0))&gt;0,0,-('Working Capital'!BC6-'Working Capital'!BB6))</f>
        <v/>
      </c>
      <c r="BD10" s="156">
        <f>IF((IF(AND(Assumptions!B51&lt;&gt;"",IFERROR(DATEVALUE(TEXT(Assumptions!B51,"MM/DD/YYYY")),0)&gt;=DATE(2031,3,1),IFERROR(DATEVALUE(TEXT(Assumptions!B51,"MM/DD/YYYY")),0)&lt;=DATE(2031,3,31)),1,0)+IF(AND(Assumptions!B52&lt;&gt;"",IFERROR(DATEVALUE(TEXT(Assumptions!B52,"MM/DD/YYYY")),0)&gt;=DATE(2031,3,1),IFERROR(DATEVALUE(TEXT(Assumptions!B52,"MM/DD/YYYY")),0)&lt;=DATE(2031,3,31)),1,0)+IF(AND(Assumptions!B53&lt;&gt;"",IFERROR(DATEVALUE(TEXT(Assumptions!B53,"MM/DD/YYYY")),0)&gt;=DATE(2031,3,1),IFERROR(DATEVALUE(TEXT(Assumptions!B53,"MM/DD/YYYY")),0)&lt;=DATE(2031,3,31)),1,0)+IF(AND(Assumptions!B54&lt;&gt;"",IFERROR(DATEVALUE(TEXT(Assumptions!B54,"MM/DD/YYYY")),0)&gt;=DATE(2031,3,1),IFERROR(DATEVALUE(TEXT(Assumptions!B54,"MM/DD/YYYY")),0)&lt;=DATE(2031,3,31)),1,0)+IF(AND(Assumptions!B55&lt;&gt;"",IFERROR(DATEVALUE(TEXT(Assumptions!B55,"MM/DD/YYYY")),0)&gt;=DATE(2031,3,1),IFERROR(DATEVALUE(TEXT(Assumptions!B55,"MM/DD/YYYY")),0)&lt;=DATE(2031,3,31)),1,0)+IF(AND(Assumptions!B56&lt;&gt;"",IFERROR(DATEVALUE(TEXT(Assumptions!B56,"MM/DD/YYYY")),0)&gt;=DATE(2031,3,1),IFERROR(DATEVALUE(TEXT(Assumptions!B56,"MM/DD/YYYY")),0)&lt;=DATE(2031,3,31)),1,0)+IF(AND(Assumptions!B57&lt;&gt;"",IFERROR(DATEVALUE(TEXT(Assumptions!B57,"MM/DD/YYYY")),0)&gt;=DATE(2031,3,1),IFERROR(DATEVALUE(TEXT(Assumptions!B57,"MM/DD/YYYY")),0)&lt;=DATE(2031,3,31)),1,0)+IF(AND(Assumptions!B58&lt;&gt;"",IFERROR(DATEVALUE(TEXT(Assumptions!B58,"MM/DD/YYYY")),0)&gt;=DATE(2031,3,1),IFERROR(DATEVALUE(TEXT(Assumptions!B58,"MM/DD/YYYY")),0)&lt;=DATE(2031,3,31)),1,0)+IF(AND(Assumptions!B59&lt;&gt;"",IFERROR(DATEVALUE(TEXT(Assumptions!B59,"MM/DD/YYYY")),0)&gt;=DATE(2031,3,1),IFERROR(DATEVALUE(TEXT(Assumptions!B59,"MM/DD/YYYY")),0)&lt;=DATE(2031,3,31)),1,0)+IF(AND(Assumptions!B60&lt;&gt;"",IFERROR(DATEVALUE(TEXT(Assumptions!B60,"MM/DD/YYYY")),0)&gt;=DATE(2031,3,1),IFERROR(DATEVALUE(TEXT(Assumptions!B60,"MM/DD/YYYY")),0)&lt;=DATE(2031,3,31)),1,0))&gt;0,0,-('Working Capital'!BD6-'Working Capital'!BC6))</f>
        <v/>
      </c>
      <c r="BE10" s="156">
        <f>IF((IF(AND(Assumptions!B51&lt;&gt;"",IFERROR(DATEVALUE(TEXT(Assumptions!B51,"MM/DD/YYYY")),0)&gt;=DATE(2031,4,1),IFERROR(DATEVALUE(TEXT(Assumptions!B51,"MM/DD/YYYY")),0)&lt;=DATE(2031,4,30)),1,0)+IF(AND(Assumptions!B52&lt;&gt;"",IFERROR(DATEVALUE(TEXT(Assumptions!B52,"MM/DD/YYYY")),0)&gt;=DATE(2031,4,1),IFERROR(DATEVALUE(TEXT(Assumptions!B52,"MM/DD/YYYY")),0)&lt;=DATE(2031,4,30)),1,0)+IF(AND(Assumptions!B53&lt;&gt;"",IFERROR(DATEVALUE(TEXT(Assumptions!B53,"MM/DD/YYYY")),0)&gt;=DATE(2031,4,1),IFERROR(DATEVALUE(TEXT(Assumptions!B53,"MM/DD/YYYY")),0)&lt;=DATE(2031,4,30)),1,0)+IF(AND(Assumptions!B54&lt;&gt;"",IFERROR(DATEVALUE(TEXT(Assumptions!B54,"MM/DD/YYYY")),0)&gt;=DATE(2031,4,1),IFERROR(DATEVALUE(TEXT(Assumptions!B54,"MM/DD/YYYY")),0)&lt;=DATE(2031,4,30)),1,0)+IF(AND(Assumptions!B55&lt;&gt;"",IFERROR(DATEVALUE(TEXT(Assumptions!B55,"MM/DD/YYYY")),0)&gt;=DATE(2031,4,1),IFERROR(DATEVALUE(TEXT(Assumptions!B55,"MM/DD/YYYY")),0)&lt;=DATE(2031,4,30)),1,0)+IF(AND(Assumptions!B56&lt;&gt;"",IFERROR(DATEVALUE(TEXT(Assumptions!B56,"MM/DD/YYYY")),0)&gt;=DATE(2031,4,1),IFERROR(DATEVALUE(TEXT(Assumptions!B56,"MM/DD/YYYY")),0)&lt;=DATE(2031,4,30)),1,0)+IF(AND(Assumptions!B57&lt;&gt;"",IFERROR(DATEVALUE(TEXT(Assumptions!B57,"MM/DD/YYYY")),0)&gt;=DATE(2031,4,1),IFERROR(DATEVALUE(TEXT(Assumptions!B57,"MM/DD/YYYY")),0)&lt;=DATE(2031,4,30)),1,0)+IF(AND(Assumptions!B58&lt;&gt;"",IFERROR(DATEVALUE(TEXT(Assumptions!B58,"MM/DD/YYYY")),0)&gt;=DATE(2031,4,1),IFERROR(DATEVALUE(TEXT(Assumptions!B58,"MM/DD/YYYY")),0)&lt;=DATE(2031,4,30)),1,0)+IF(AND(Assumptions!B59&lt;&gt;"",IFERROR(DATEVALUE(TEXT(Assumptions!B59,"MM/DD/YYYY")),0)&gt;=DATE(2031,4,1),IFERROR(DATEVALUE(TEXT(Assumptions!B59,"MM/DD/YYYY")),0)&lt;=DATE(2031,4,30)),1,0)+IF(AND(Assumptions!B60&lt;&gt;"",IFERROR(DATEVALUE(TEXT(Assumptions!B60,"MM/DD/YYYY")),0)&gt;=DATE(2031,4,1),IFERROR(DATEVALUE(TEXT(Assumptions!B60,"MM/DD/YYYY")),0)&lt;=DATE(2031,4,30)),1,0))&gt;0,0,-('Working Capital'!BE6-'Working Capital'!BD6))</f>
        <v/>
      </c>
      <c r="BF10" s="156">
        <f>IF((IF(AND(Assumptions!B51&lt;&gt;"",IFERROR(DATEVALUE(TEXT(Assumptions!B51,"MM/DD/YYYY")),0)&gt;=DATE(2031,5,1),IFERROR(DATEVALUE(TEXT(Assumptions!B51,"MM/DD/YYYY")),0)&lt;=DATE(2031,5,31)),1,0)+IF(AND(Assumptions!B52&lt;&gt;"",IFERROR(DATEVALUE(TEXT(Assumptions!B52,"MM/DD/YYYY")),0)&gt;=DATE(2031,5,1),IFERROR(DATEVALUE(TEXT(Assumptions!B52,"MM/DD/YYYY")),0)&lt;=DATE(2031,5,31)),1,0)+IF(AND(Assumptions!B53&lt;&gt;"",IFERROR(DATEVALUE(TEXT(Assumptions!B53,"MM/DD/YYYY")),0)&gt;=DATE(2031,5,1),IFERROR(DATEVALUE(TEXT(Assumptions!B53,"MM/DD/YYYY")),0)&lt;=DATE(2031,5,31)),1,0)+IF(AND(Assumptions!B54&lt;&gt;"",IFERROR(DATEVALUE(TEXT(Assumptions!B54,"MM/DD/YYYY")),0)&gt;=DATE(2031,5,1),IFERROR(DATEVALUE(TEXT(Assumptions!B54,"MM/DD/YYYY")),0)&lt;=DATE(2031,5,31)),1,0)+IF(AND(Assumptions!B55&lt;&gt;"",IFERROR(DATEVALUE(TEXT(Assumptions!B55,"MM/DD/YYYY")),0)&gt;=DATE(2031,5,1),IFERROR(DATEVALUE(TEXT(Assumptions!B55,"MM/DD/YYYY")),0)&lt;=DATE(2031,5,31)),1,0)+IF(AND(Assumptions!B56&lt;&gt;"",IFERROR(DATEVALUE(TEXT(Assumptions!B56,"MM/DD/YYYY")),0)&gt;=DATE(2031,5,1),IFERROR(DATEVALUE(TEXT(Assumptions!B56,"MM/DD/YYYY")),0)&lt;=DATE(2031,5,31)),1,0)+IF(AND(Assumptions!B57&lt;&gt;"",IFERROR(DATEVALUE(TEXT(Assumptions!B57,"MM/DD/YYYY")),0)&gt;=DATE(2031,5,1),IFERROR(DATEVALUE(TEXT(Assumptions!B57,"MM/DD/YYYY")),0)&lt;=DATE(2031,5,31)),1,0)+IF(AND(Assumptions!B58&lt;&gt;"",IFERROR(DATEVALUE(TEXT(Assumptions!B58,"MM/DD/YYYY")),0)&gt;=DATE(2031,5,1),IFERROR(DATEVALUE(TEXT(Assumptions!B58,"MM/DD/YYYY")),0)&lt;=DATE(2031,5,31)),1,0)+IF(AND(Assumptions!B59&lt;&gt;"",IFERROR(DATEVALUE(TEXT(Assumptions!B59,"MM/DD/YYYY")),0)&gt;=DATE(2031,5,1),IFERROR(DATEVALUE(TEXT(Assumptions!B59,"MM/DD/YYYY")),0)&lt;=DATE(2031,5,31)),1,0)+IF(AND(Assumptions!B60&lt;&gt;"",IFERROR(DATEVALUE(TEXT(Assumptions!B60,"MM/DD/YYYY")),0)&gt;=DATE(2031,5,1),IFERROR(DATEVALUE(TEXT(Assumptions!B60,"MM/DD/YYYY")),0)&lt;=DATE(2031,5,31)),1,0))&gt;0,0,-('Working Capital'!BF6-'Working Capital'!BE6))</f>
        <v/>
      </c>
      <c r="BG10" s="156">
        <f>IF((IF(AND(Assumptions!B51&lt;&gt;"",IFERROR(DATEVALUE(TEXT(Assumptions!B51,"MM/DD/YYYY")),0)&gt;=DATE(2031,6,1),IFERROR(DATEVALUE(TEXT(Assumptions!B51,"MM/DD/YYYY")),0)&lt;=DATE(2031,6,30)),1,0)+IF(AND(Assumptions!B52&lt;&gt;"",IFERROR(DATEVALUE(TEXT(Assumptions!B52,"MM/DD/YYYY")),0)&gt;=DATE(2031,6,1),IFERROR(DATEVALUE(TEXT(Assumptions!B52,"MM/DD/YYYY")),0)&lt;=DATE(2031,6,30)),1,0)+IF(AND(Assumptions!B53&lt;&gt;"",IFERROR(DATEVALUE(TEXT(Assumptions!B53,"MM/DD/YYYY")),0)&gt;=DATE(2031,6,1),IFERROR(DATEVALUE(TEXT(Assumptions!B53,"MM/DD/YYYY")),0)&lt;=DATE(2031,6,30)),1,0)+IF(AND(Assumptions!B54&lt;&gt;"",IFERROR(DATEVALUE(TEXT(Assumptions!B54,"MM/DD/YYYY")),0)&gt;=DATE(2031,6,1),IFERROR(DATEVALUE(TEXT(Assumptions!B54,"MM/DD/YYYY")),0)&lt;=DATE(2031,6,30)),1,0)+IF(AND(Assumptions!B55&lt;&gt;"",IFERROR(DATEVALUE(TEXT(Assumptions!B55,"MM/DD/YYYY")),0)&gt;=DATE(2031,6,1),IFERROR(DATEVALUE(TEXT(Assumptions!B55,"MM/DD/YYYY")),0)&lt;=DATE(2031,6,30)),1,0)+IF(AND(Assumptions!B56&lt;&gt;"",IFERROR(DATEVALUE(TEXT(Assumptions!B56,"MM/DD/YYYY")),0)&gt;=DATE(2031,6,1),IFERROR(DATEVALUE(TEXT(Assumptions!B56,"MM/DD/YYYY")),0)&lt;=DATE(2031,6,30)),1,0)+IF(AND(Assumptions!B57&lt;&gt;"",IFERROR(DATEVALUE(TEXT(Assumptions!B57,"MM/DD/YYYY")),0)&gt;=DATE(2031,6,1),IFERROR(DATEVALUE(TEXT(Assumptions!B57,"MM/DD/YYYY")),0)&lt;=DATE(2031,6,30)),1,0)+IF(AND(Assumptions!B58&lt;&gt;"",IFERROR(DATEVALUE(TEXT(Assumptions!B58,"MM/DD/YYYY")),0)&gt;=DATE(2031,6,1),IFERROR(DATEVALUE(TEXT(Assumptions!B58,"MM/DD/YYYY")),0)&lt;=DATE(2031,6,30)),1,0)+IF(AND(Assumptions!B59&lt;&gt;"",IFERROR(DATEVALUE(TEXT(Assumptions!B59,"MM/DD/YYYY")),0)&gt;=DATE(2031,6,1),IFERROR(DATEVALUE(TEXT(Assumptions!B59,"MM/DD/YYYY")),0)&lt;=DATE(2031,6,30)),1,0)+IF(AND(Assumptions!B60&lt;&gt;"",IFERROR(DATEVALUE(TEXT(Assumptions!B60,"MM/DD/YYYY")),0)&gt;=DATE(2031,6,1),IFERROR(DATEVALUE(TEXT(Assumptions!B60,"MM/DD/YYYY")),0)&lt;=DATE(2031,6,30)),1,0))&gt;0,0,-('Working Capital'!BG6-'Working Capital'!BF6))</f>
        <v/>
      </c>
      <c r="BH10" s="156">
        <f>IF((IF(AND(Assumptions!B51&lt;&gt;"",IFERROR(DATEVALUE(TEXT(Assumptions!B51,"MM/DD/YYYY")),0)&gt;=DATE(2031,7,1),IFERROR(DATEVALUE(TEXT(Assumptions!B51,"MM/DD/YYYY")),0)&lt;=DATE(2031,7,31)),1,0)+IF(AND(Assumptions!B52&lt;&gt;"",IFERROR(DATEVALUE(TEXT(Assumptions!B52,"MM/DD/YYYY")),0)&gt;=DATE(2031,7,1),IFERROR(DATEVALUE(TEXT(Assumptions!B52,"MM/DD/YYYY")),0)&lt;=DATE(2031,7,31)),1,0)+IF(AND(Assumptions!B53&lt;&gt;"",IFERROR(DATEVALUE(TEXT(Assumptions!B53,"MM/DD/YYYY")),0)&gt;=DATE(2031,7,1),IFERROR(DATEVALUE(TEXT(Assumptions!B53,"MM/DD/YYYY")),0)&lt;=DATE(2031,7,31)),1,0)+IF(AND(Assumptions!B54&lt;&gt;"",IFERROR(DATEVALUE(TEXT(Assumptions!B54,"MM/DD/YYYY")),0)&gt;=DATE(2031,7,1),IFERROR(DATEVALUE(TEXT(Assumptions!B54,"MM/DD/YYYY")),0)&lt;=DATE(2031,7,31)),1,0)+IF(AND(Assumptions!B55&lt;&gt;"",IFERROR(DATEVALUE(TEXT(Assumptions!B55,"MM/DD/YYYY")),0)&gt;=DATE(2031,7,1),IFERROR(DATEVALUE(TEXT(Assumptions!B55,"MM/DD/YYYY")),0)&lt;=DATE(2031,7,31)),1,0)+IF(AND(Assumptions!B56&lt;&gt;"",IFERROR(DATEVALUE(TEXT(Assumptions!B56,"MM/DD/YYYY")),0)&gt;=DATE(2031,7,1),IFERROR(DATEVALUE(TEXT(Assumptions!B56,"MM/DD/YYYY")),0)&lt;=DATE(2031,7,31)),1,0)+IF(AND(Assumptions!B57&lt;&gt;"",IFERROR(DATEVALUE(TEXT(Assumptions!B57,"MM/DD/YYYY")),0)&gt;=DATE(2031,7,1),IFERROR(DATEVALUE(TEXT(Assumptions!B57,"MM/DD/YYYY")),0)&lt;=DATE(2031,7,31)),1,0)+IF(AND(Assumptions!B58&lt;&gt;"",IFERROR(DATEVALUE(TEXT(Assumptions!B58,"MM/DD/YYYY")),0)&gt;=DATE(2031,7,1),IFERROR(DATEVALUE(TEXT(Assumptions!B58,"MM/DD/YYYY")),0)&lt;=DATE(2031,7,31)),1,0)+IF(AND(Assumptions!B59&lt;&gt;"",IFERROR(DATEVALUE(TEXT(Assumptions!B59,"MM/DD/YYYY")),0)&gt;=DATE(2031,7,1),IFERROR(DATEVALUE(TEXT(Assumptions!B59,"MM/DD/YYYY")),0)&lt;=DATE(2031,7,31)),1,0)+IF(AND(Assumptions!B60&lt;&gt;"",IFERROR(DATEVALUE(TEXT(Assumptions!B60,"MM/DD/YYYY")),0)&gt;=DATE(2031,7,1),IFERROR(DATEVALUE(TEXT(Assumptions!B60,"MM/DD/YYYY")),0)&lt;=DATE(2031,7,31)),1,0))&gt;0,0,-('Working Capital'!BH6-'Working Capital'!BG6))</f>
        <v/>
      </c>
      <c r="BI10" s="156">
        <f>IF((IF(AND(Assumptions!B51&lt;&gt;"",IFERROR(DATEVALUE(TEXT(Assumptions!B51,"MM/DD/YYYY")),0)&gt;=DATE(2031,8,1),IFERROR(DATEVALUE(TEXT(Assumptions!B51,"MM/DD/YYYY")),0)&lt;=DATE(2031,8,31)),1,0)+IF(AND(Assumptions!B52&lt;&gt;"",IFERROR(DATEVALUE(TEXT(Assumptions!B52,"MM/DD/YYYY")),0)&gt;=DATE(2031,8,1),IFERROR(DATEVALUE(TEXT(Assumptions!B52,"MM/DD/YYYY")),0)&lt;=DATE(2031,8,31)),1,0)+IF(AND(Assumptions!B53&lt;&gt;"",IFERROR(DATEVALUE(TEXT(Assumptions!B53,"MM/DD/YYYY")),0)&gt;=DATE(2031,8,1),IFERROR(DATEVALUE(TEXT(Assumptions!B53,"MM/DD/YYYY")),0)&lt;=DATE(2031,8,31)),1,0)+IF(AND(Assumptions!B54&lt;&gt;"",IFERROR(DATEVALUE(TEXT(Assumptions!B54,"MM/DD/YYYY")),0)&gt;=DATE(2031,8,1),IFERROR(DATEVALUE(TEXT(Assumptions!B54,"MM/DD/YYYY")),0)&lt;=DATE(2031,8,31)),1,0)+IF(AND(Assumptions!B55&lt;&gt;"",IFERROR(DATEVALUE(TEXT(Assumptions!B55,"MM/DD/YYYY")),0)&gt;=DATE(2031,8,1),IFERROR(DATEVALUE(TEXT(Assumptions!B55,"MM/DD/YYYY")),0)&lt;=DATE(2031,8,31)),1,0)+IF(AND(Assumptions!B56&lt;&gt;"",IFERROR(DATEVALUE(TEXT(Assumptions!B56,"MM/DD/YYYY")),0)&gt;=DATE(2031,8,1),IFERROR(DATEVALUE(TEXT(Assumptions!B56,"MM/DD/YYYY")),0)&lt;=DATE(2031,8,31)),1,0)+IF(AND(Assumptions!B57&lt;&gt;"",IFERROR(DATEVALUE(TEXT(Assumptions!B57,"MM/DD/YYYY")),0)&gt;=DATE(2031,8,1),IFERROR(DATEVALUE(TEXT(Assumptions!B57,"MM/DD/YYYY")),0)&lt;=DATE(2031,8,31)),1,0)+IF(AND(Assumptions!B58&lt;&gt;"",IFERROR(DATEVALUE(TEXT(Assumptions!B58,"MM/DD/YYYY")),0)&gt;=DATE(2031,8,1),IFERROR(DATEVALUE(TEXT(Assumptions!B58,"MM/DD/YYYY")),0)&lt;=DATE(2031,8,31)),1,0)+IF(AND(Assumptions!B59&lt;&gt;"",IFERROR(DATEVALUE(TEXT(Assumptions!B59,"MM/DD/YYYY")),0)&gt;=DATE(2031,8,1),IFERROR(DATEVALUE(TEXT(Assumptions!B59,"MM/DD/YYYY")),0)&lt;=DATE(2031,8,31)),1,0)+IF(AND(Assumptions!B60&lt;&gt;"",IFERROR(DATEVALUE(TEXT(Assumptions!B60,"MM/DD/YYYY")),0)&gt;=DATE(2031,8,1),IFERROR(DATEVALUE(TEXT(Assumptions!B60,"MM/DD/YYYY")),0)&lt;=DATE(2031,8,31)),1,0))&gt;0,0,-('Working Capital'!BI6-'Working Capital'!BH6))</f>
        <v/>
      </c>
      <c r="BJ10" s="156">
        <f>IF((IF(AND(Assumptions!B51&lt;&gt;"",IFERROR(DATEVALUE(TEXT(Assumptions!B51,"MM/DD/YYYY")),0)&gt;=DATE(2031,9,1),IFERROR(DATEVALUE(TEXT(Assumptions!B51,"MM/DD/YYYY")),0)&lt;=DATE(2031,9,30)),1,0)+IF(AND(Assumptions!B52&lt;&gt;"",IFERROR(DATEVALUE(TEXT(Assumptions!B52,"MM/DD/YYYY")),0)&gt;=DATE(2031,9,1),IFERROR(DATEVALUE(TEXT(Assumptions!B52,"MM/DD/YYYY")),0)&lt;=DATE(2031,9,30)),1,0)+IF(AND(Assumptions!B53&lt;&gt;"",IFERROR(DATEVALUE(TEXT(Assumptions!B53,"MM/DD/YYYY")),0)&gt;=DATE(2031,9,1),IFERROR(DATEVALUE(TEXT(Assumptions!B53,"MM/DD/YYYY")),0)&lt;=DATE(2031,9,30)),1,0)+IF(AND(Assumptions!B54&lt;&gt;"",IFERROR(DATEVALUE(TEXT(Assumptions!B54,"MM/DD/YYYY")),0)&gt;=DATE(2031,9,1),IFERROR(DATEVALUE(TEXT(Assumptions!B54,"MM/DD/YYYY")),0)&lt;=DATE(2031,9,30)),1,0)+IF(AND(Assumptions!B55&lt;&gt;"",IFERROR(DATEVALUE(TEXT(Assumptions!B55,"MM/DD/YYYY")),0)&gt;=DATE(2031,9,1),IFERROR(DATEVALUE(TEXT(Assumptions!B55,"MM/DD/YYYY")),0)&lt;=DATE(2031,9,30)),1,0)+IF(AND(Assumptions!B56&lt;&gt;"",IFERROR(DATEVALUE(TEXT(Assumptions!B56,"MM/DD/YYYY")),0)&gt;=DATE(2031,9,1),IFERROR(DATEVALUE(TEXT(Assumptions!B56,"MM/DD/YYYY")),0)&lt;=DATE(2031,9,30)),1,0)+IF(AND(Assumptions!B57&lt;&gt;"",IFERROR(DATEVALUE(TEXT(Assumptions!B57,"MM/DD/YYYY")),0)&gt;=DATE(2031,9,1),IFERROR(DATEVALUE(TEXT(Assumptions!B57,"MM/DD/YYYY")),0)&lt;=DATE(2031,9,30)),1,0)+IF(AND(Assumptions!B58&lt;&gt;"",IFERROR(DATEVALUE(TEXT(Assumptions!B58,"MM/DD/YYYY")),0)&gt;=DATE(2031,9,1),IFERROR(DATEVALUE(TEXT(Assumptions!B58,"MM/DD/YYYY")),0)&lt;=DATE(2031,9,30)),1,0)+IF(AND(Assumptions!B59&lt;&gt;"",IFERROR(DATEVALUE(TEXT(Assumptions!B59,"MM/DD/YYYY")),0)&gt;=DATE(2031,9,1),IFERROR(DATEVALUE(TEXT(Assumptions!B59,"MM/DD/YYYY")),0)&lt;=DATE(2031,9,30)),1,0)+IF(AND(Assumptions!B60&lt;&gt;"",IFERROR(DATEVALUE(TEXT(Assumptions!B60,"MM/DD/YYYY")),0)&gt;=DATE(2031,9,1),IFERROR(DATEVALUE(TEXT(Assumptions!B60,"MM/DD/YYYY")),0)&lt;=DATE(2031,9,30)),1,0))&gt;0,0,-('Working Capital'!BJ6-'Working Capital'!BI6))</f>
        <v/>
      </c>
      <c r="BL10" s="157">
        <f>C10+D10+E10+F10+G10+H10+I10+J10+K10+L10+M10+N10</f>
        <v/>
      </c>
      <c r="BM10" s="157">
        <f>O10+P10+Q10+R10+S10+T10+U10+V10+W10+X10+Y10+Z10</f>
        <v/>
      </c>
      <c r="BN10" s="157">
        <f>AA10+AB10+AC10+AD10+AE10+AF10+AG10+AH10+AI10+AJ10+AK10+AL10</f>
        <v/>
      </c>
      <c r="BO10" s="157">
        <f>AM10+AN10+AO10+AP10+AQ10+AR10+AS10+AT10+AU10+AV10+AW10+AX10</f>
        <v/>
      </c>
      <c r="BP10" s="157">
        <f>AY10+AZ10+BA10+BB10+BC10+BD10+BE10+BF10+BG10+BH10+BI10+BJ10</f>
        <v/>
      </c>
    </row>
    <row r="11" ht="15" customHeight="1" s="104">
      <c r="A11" s="107" t="inlineStr">
        <is>
          <t xml:space="preserve">        (Increase) / Decrease in Prepaid Assets</t>
        </is>
      </c>
      <c r="C11" s="156">
        <f>0</f>
        <v/>
      </c>
      <c r="D11" s="156">
        <f>IF((IF(AND(Assumptions!B51&lt;&gt;"",IFERROR(DATEVALUE(TEXT(Assumptions!B51,"MM/DD/YYYY")),0)&gt;=DATE(2026,11,1),IFERROR(DATEVALUE(TEXT(Assumptions!B51,"MM/DD/YYYY")),0)&lt;=DATE(2026,11,30)),1,0)+IF(AND(Assumptions!B52&lt;&gt;"",IFERROR(DATEVALUE(TEXT(Assumptions!B52,"MM/DD/YYYY")),0)&gt;=DATE(2026,11,1),IFERROR(DATEVALUE(TEXT(Assumptions!B52,"MM/DD/YYYY")),0)&lt;=DATE(2026,11,30)),1,0)+IF(AND(Assumptions!B53&lt;&gt;"",IFERROR(DATEVALUE(TEXT(Assumptions!B53,"MM/DD/YYYY")),0)&gt;=DATE(2026,11,1),IFERROR(DATEVALUE(TEXT(Assumptions!B53,"MM/DD/YYYY")),0)&lt;=DATE(2026,11,30)),1,0)+IF(AND(Assumptions!B54&lt;&gt;"",IFERROR(DATEVALUE(TEXT(Assumptions!B54,"MM/DD/YYYY")),0)&gt;=DATE(2026,11,1),IFERROR(DATEVALUE(TEXT(Assumptions!B54,"MM/DD/YYYY")),0)&lt;=DATE(2026,11,30)),1,0)+IF(AND(Assumptions!B55&lt;&gt;"",IFERROR(DATEVALUE(TEXT(Assumptions!B55,"MM/DD/YYYY")),0)&gt;=DATE(2026,11,1),IFERROR(DATEVALUE(TEXT(Assumptions!B55,"MM/DD/YYYY")),0)&lt;=DATE(2026,11,30)),1,0)+IF(AND(Assumptions!B56&lt;&gt;"",IFERROR(DATEVALUE(TEXT(Assumptions!B56,"MM/DD/YYYY")),0)&gt;=DATE(2026,11,1),IFERROR(DATEVALUE(TEXT(Assumptions!B56,"MM/DD/YYYY")),0)&lt;=DATE(2026,11,30)),1,0)+IF(AND(Assumptions!B57&lt;&gt;"",IFERROR(DATEVALUE(TEXT(Assumptions!B57,"MM/DD/YYYY")),0)&gt;=DATE(2026,11,1),IFERROR(DATEVALUE(TEXT(Assumptions!B57,"MM/DD/YYYY")),0)&lt;=DATE(2026,11,30)),1,0)+IF(AND(Assumptions!B58&lt;&gt;"",IFERROR(DATEVALUE(TEXT(Assumptions!B58,"MM/DD/YYYY")),0)&gt;=DATE(2026,11,1),IFERROR(DATEVALUE(TEXT(Assumptions!B58,"MM/DD/YYYY")),0)&lt;=DATE(2026,11,30)),1,0)+IF(AND(Assumptions!B59&lt;&gt;"",IFERROR(DATEVALUE(TEXT(Assumptions!B59,"MM/DD/YYYY")),0)&gt;=DATE(2026,11,1),IFERROR(DATEVALUE(TEXT(Assumptions!B59,"MM/DD/YYYY")),0)&lt;=DATE(2026,11,30)),1,0)+IF(AND(Assumptions!B60&lt;&gt;"",IFERROR(DATEVALUE(TEXT(Assumptions!B60,"MM/DD/YYYY")),0)&gt;=DATE(2026,11,1),IFERROR(DATEVALUE(TEXT(Assumptions!B60,"MM/DD/YYYY")),0)&lt;=DATE(2026,11,30)),1,0))&gt;0,0,-('Working Capital'!D8-'Working Capital'!C8))</f>
        <v/>
      </c>
      <c r="E11" s="156">
        <f>IF((IF(AND(Assumptions!B51&lt;&gt;"",IFERROR(DATEVALUE(TEXT(Assumptions!B51,"MM/DD/YYYY")),0)&gt;=DATE(2026,12,1),IFERROR(DATEVALUE(TEXT(Assumptions!B51,"MM/DD/YYYY")),0)&lt;=DATE(2026,12,31)),1,0)+IF(AND(Assumptions!B52&lt;&gt;"",IFERROR(DATEVALUE(TEXT(Assumptions!B52,"MM/DD/YYYY")),0)&gt;=DATE(2026,12,1),IFERROR(DATEVALUE(TEXT(Assumptions!B52,"MM/DD/YYYY")),0)&lt;=DATE(2026,12,31)),1,0)+IF(AND(Assumptions!B53&lt;&gt;"",IFERROR(DATEVALUE(TEXT(Assumptions!B53,"MM/DD/YYYY")),0)&gt;=DATE(2026,12,1),IFERROR(DATEVALUE(TEXT(Assumptions!B53,"MM/DD/YYYY")),0)&lt;=DATE(2026,12,31)),1,0)+IF(AND(Assumptions!B54&lt;&gt;"",IFERROR(DATEVALUE(TEXT(Assumptions!B54,"MM/DD/YYYY")),0)&gt;=DATE(2026,12,1),IFERROR(DATEVALUE(TEXT(Assumptions!B54,"MM/DD/YYYY")),0)&lt;=DATE(2026,12,31)),1,0)+IF(AND(Assumptions!B55&lt;&gt;"",IFERROR(DATEVALUE(TEXT(Assumptions!B55,"MM/DD/YYYY")),0)&gt;=DATE(2026,12,1),IFERROR(DATEVALUE(TEXT(Assumptions!B55,"MM/DD/YYYY")),0)&lt;=DATE(2026,12,31)),1,0)+IF(AND(Assumptions!B56&lt;&gt;"",IFERROR(DATEVALUE(TEXT(Assumptions!B56,"MM/DD/YYYY")),0)&gt;=DATE(2026,12,1),IFERROR(DATEVALUE(TEXT(Assumptions!B56,"MM/DD/YYYY")),0)&lt;=DATE(2026,12,31)),1,0)+IF(AND(Assumptions!B57&lt;&gt;"",IFERROR(DATEVALUE(TEXT(Assumptions!B57,"MM/DD/YYYY")),0)&gt;=DATE(2026,12,1),IFERROR(DATEVALUE(TEXT(Assumptions!B57,"MM/DD/YYYY")),0)&lt;=DATE(2026,12,31)),1,0)+IF(AND(Assumptions!B58&lt;&gt;"",IFERROR(DATEVALUE(TEXT(Assumptions!B58,"MM/DD/YYYY")),0)&gt;=DATE(2026,12,1),IFERROR(DATEVALUE(TEXT(Assumptions!B58,"MM/DD/YYYY")),0)&lt;=DATE(2026,12,31)),1,0)+IF(AND(Assumptions!B59&lt;&gt;"",IFERROR(DATEVALUE(TEXT(Assumptions!B59,"MM/DD/YYYY")),0)&gt;=DATE(2026,12,1),IFERROR(DATEVALUE(TEXT(Assumptions!B59,"MM/DD/YYYY")),0)&lt;=DATE(2026,12,31)),1,0)+IF(AND(Assumptions!B60&lt;&gt;"",IFERROR(DATEVALUE(TEXT(Assumptions!B60,"MM/DD/YYYY")),0)&gt;=DATE(2026,12,1),IFERROR(DATEVALUE(TEXT(Assumptions!B60,"MM/DD/YYYY")),0)&lt;=DATE(2026,12,31)),1,0))&gt;0,0,-('Working Capital'!E8-'Working Capital'!D8))</f>
        <v/>
      </c>
      <c r="F11" s="156">
        <f>IF((IF(AND(Assumptions!B51&lt;&gt;"",IFERROR(DATEVALUE(TEXT(Assumptions!B51,"MM/DD/YYYY")),0)&gt;=DATE(2027,1,1),IFERROR(DATEVALUE(TEXT(Assumptions!B51,"MM/DD/YYYY")),0)&lt;=DATE(2027,1,31)),1,0)+IF(AND(Assumptions!B52&lt;&gt;"",IFERROR(DATEVALUE(TEXT(Assumptions!B52,"MM/DD/YYYY")),0)&gt;=DATE(2027,1,1),IFERROR(DATEVALUE(TEXT(Assumptions!B52,"MM/DD/YYYY")),0)&lt;=DATE(2027,1,31)),1,0)+IF(AND(Assumptions!B53&lt;&gt;"",IFERROR(DATEVALUE(TEXT(Assumptions!B53,"MM/DD/YYYY")),0)&gt;=DATE(2027,1,1),IFERROR(DATEVALUE(TEXT(Assumptions!B53,"MM/DD/YYYY")),0)&lt;=DATE(2027,1,31)),1,0)+IF(AND(Assumptions!B54&lt;&gt;"",IFERROR(DATEVALUE(TEXT(Assumptions!B54,"MM/DD/YYYY")),0)&gt;=DATE(2027,1,1),IFERROR(DATEVALUE(TEXT(Assumptions!B54,"MM/DD/YYYY")),0)&lt;=DATE(2027,1,31)),1,0)+IF(AND(Assumptions!B55&lt;&gt;"",IFERROR(DATEVALUE(TEXT(Assumptions!B55,"MM/DD/YYYY")),0)&gt;=DATE(2027,1,1),IFERROR(DATEVALUE(TEXT(Assumptions!B55,"MM/DD/YYYY")),0)&lt;=DATE(2027,1,31)),1,0)+IF(AND(Assumptions!B56&lt;&gt;"",IFERROR(DATEVALUE(TEXT(Assumptions!B56,"MM/DD/YYYY")),0)&gt;=DATE(2027,1,1),IFERROR(DATEVALUE(TEXT(Assumptions!B56,"MM/DD/YYYY")),0)&lt;=DATE(2027,1,31)),1,0)+IF(AND(Assumptions!B57&lt;&gt;"",IFERROR(DATEVALUE(TEXT(Assumptions!B57,"MM/DD/YYYY")),0)&gt;=DATE(2027,1,1),IFERROR(DATEVALUE(TEXT(Assumptions!B57,"MM/DD/YYYY")),0)&lt;=DATE(2027,1,31)),1,0)+IF(AND(Assumptions!B58&lt;&gt;"",IFERROR(DATEVALUE(TEXT(Assumptions!B58,"MM/DD/YYYY")),0)&gt;=DATE(2027,1,1),IFERROR(DATEVALUE(TEXT(Assumptions!B58,"MM/DD/YYYY")),0)&lt;=DATE(2027,1,31)),1,0)+IF(AND(Assumptions!B59&lt;&gt;"",IFERROR(DATEVALUE(TEXT(Assumptions!B59,"MM/DD/YYYY")),0)&gt;=DATE(2027,1,1),IFERROR(DATEVALUE(TEXT(Assumptions!B59,"MM/DD/YYYY")),0)&lt;=DATE(2027,1,31)),1,0)+IF(AND(Assumptions!B60&lt;&gt;"",IFERROR(DATEVALUE(TEXT(Assumptions!B60,"MM/DD/YYYY")),0)&gt;=DATE(2027,1,1),IFERROR(DATEVALUE(TEXT(Assumptions!B60,"MM/DD/YYYY")),0)&lt;=DATE(2027,1,31)),1,0))&gt;0,0,-('Working Capital'!F8-'Working Capital'!E8))</f>
        <v/>
      </c>
      <c r="G11" s="156">
        <f>IF((IF(AND(Assumptions!B51&lt;&gt;"",IFERROR(DATEVALUE(TEXT(Assumptions!B51,"MM/DD/YYYY")),0)&gt;=DATE(2027,2,1),IFERROR(DATEVALUE(TEXT(Assumptions!B51,"MM/DD/YYYY")),0)&lt;=DATE(2027,2,28)),1,0)+IF(AND(Assumptions!B52&lt;&gt;"",IFERROR(DATEVALUE(TEXT(Assumptions!B52,"MM/DD/YYYY")),0)&gt;=DATE(2027,2,1),IFERROR(DATEVALUE(TEXT(Assumptions!B52,"MM/DD/YYYY")),0)&lt;=DATE(2027,2,28)),1,0)+IF(AND(Assumptions!B53&lt;&gt;"",IFERROR(DATEVALUE(TEXT(Assumptions!B53,"MM/DD/YYYY")),0)&gt;=DATE(2027,2,1),IFERROR(DATEVALUE(TEXT(Assumptions!B53,"MM/DD/YYYY")),0)&lt;=DATE(2027,2,28)),1,0)+IF(AND(Assumptions!B54&lt;&gt;"",IFERROR(DATEVALUE(TEXT(Assumptions!B54,"MM/DD/YYYY")),0)&gt;=DATE(2027,2,1),IFERROR(DATEVALUE(TEXT(Assumptions!B54,"MM/DD/YYYY")),0)&lt;=DATE(2027,2,28)),1,0)+IF(AND(Assumptions!B55&lt;&gt;"",IFERROR(DATEVALUE(TEXT(Assumptions!B55,"MM/DD/YYYY")),0)&gt;=DATE(2027,2,1),IFERROR(DATEVALUE(TEXT(Assumptions!B55,"MM/DD/YYYY")),0)&lt;=DATE(2027,2,28)),1,0)+IF(AND(Assumptions!B56&lt;&gt;"",IFERROR(DATEVALUE(TEXT(Assumptions!B56,"MM/DD/YYYY")),0)&gt;=DATE(2027,2,1),IFERROR(DATEVALUE(TEXT(Assumptions!B56,"MM/DD/YYYY")),0)&lt;=DATE(2027,2,28)),1,0)+IF(AND(Assumptions!B57&lt;&gt;"",IFERROR(DATEVALUE(TEXT(Assumptions!B57,"MM/DD/YYYY")),0)&gt;=DATE(2027,2,1),IFERROR(DATEVALUE(TEXT(Assumptions!B57,"MM/DD/YYYY")),0)&lt;=DATE(2027,2,28)),1,0)+IF(AND(Assumptions!B58&lt;&gt;"",IFERROR(DATEVALUE(TEXT(Assumptions!B58,"MM/DD/YYYY")),0)&gt;=DATE(2027,2,1),IFERROR(DATEVALUE(TEXT(Assumptions!B58,"MM/DD/YYYY")),0)&lt;=DATE(2027,2,28)),1,0)+IF(AND(Assumptions!B59&lt;&gt;"",IFERROR(DATEVALUE(TEXT(Assumptions!B59,"MM/DD/YYYY")),0)&gt;=DATE(2027,2,1),IFERROR(DATEVALUE(TEXT(Assumptions!B59,"MM/DD/YYYY")),0)&lt;=DATE(2027,2,28)),1,0)+IF(AND(Assumptions!B60&lt;&gt;"",IFERROR(DATEVALUE(TEXT(Assumptions!B60,"MM/DD/YYYY")),0)&gt;=DATE(2027,2,1),IFERROR(DATEVALUE(TEXT(Assumptions!B60,"MM/DD/YYYY")),0)&lt;=DATE(2027,2,28)),1,0))&gt;0,0,-('Working Capital'!G8-'Working Capital'!F8))</f>
        <v/>
      </c>
      <c r="H11" s="156">
        <f>IF((IF(AND(Assumptions!B51&lt;&gt;"",IFERROR(DATEVALUE(TEXT(Assumptions!B51,"MM/DD/YYYY")),0)&gt;=DATE(2027,3,1),IFERROR(DATEVALUE(TEXT(Assumptions!B51,"MM/DD/YYYY")),0)&lt;=DATE(2027,3,31)),1,0)+IF(AND(Assumptions!B52&lt;&gt;"",IFERROR(DATEVALUE(TEXT(Assumptions!B52,"MM/DD/YYYY")),0)&gt;=DATE(2027,3,1),IFERROR(DATEVALUE(TEXT(Assumptions!B52,"MM/DD/YYYY")),0)&lt;=DATE(2027,3,31)),1,0)+IF(AND(Assumptions!B53&lt;&gt;"",IFERROR(DATEVALUE(TEXT(Assumptions!B53,"MM/DD/YYYY")),0)&gt;=DATE(2027,3,1),IFERROR(DATEVALUE(TEXT(Assumptions!B53,"MM/DD/YYYY")),0)&lt;=DATE(2027,3,31)),1,0)+IF(AND(Assumptions!B54&lt;&gt;"",IFERROR(DATEVALUE(TEXT(Assumptions!B54,"MM/DD/YYYY")),0)&gt;=DATE(2027,3,1),IFERROR(DATEVALUE(TEXT(Assumptions!B54,"MM/DD/YYYY")),0)&lt;=DATE(2027,3,31)),1,0)+IF(AND(Assumptions!B55&lt;&gt;"",IFERROR(DATEVALUE(TEXT(Assumptions!B55,"MM/DD/YYYY")),0)&gt;=DATE(2027,3,1),IFERROR(DATEVALUE(TEXT(Assumptions!B55,"MM/DD/YYYY")),0)&lt;=DATE(2027,3,31)),1,0)+IF(AND(Assumptions!B56&lt;&gt;"",IFERROR(DATEVALUE(TEXT(Assumptions!B56,"MM/DD/YYYY")),0)&gt;=DATE(2027,3,1),IFERROR(DATEVALUE(TEXT(Assumptions!B56,"MM/DD/YYYY")),0)&lt;=DATE(2027,3,31)),1,0)+IF(AND(Assumptions!B57&lt;&gt;"",IFERROR(DATEVALUE(TEXT(Assumptions!B57,"MM/DD/YYYY")),0)&gt;=DATE(2027,3,1),IFERROR(DATEVALUE(TEXT(Assumptions!B57,"MM/DD/YYYY")),0)&lt;=DATE(2027,3,31)),1,0)+IF(AND(Assumptions!B58&lt;&gt;"",IFERROR(DATEVALUE(TEXT(Assumptions!B58,"MM/DD/YYYY")),0)&gt;=DATE(2027,3,1),IFERROR(DATEVALUE(TEXT(Assumptions!B58,"MM/DD/YYYY")),0)&lt;=DATE(2027,3,31)),1,0)+IF(AND(Assumptions!B59&lt;&gt;"",IFERROR(DATEVALUE(TEXT(Assumptions!B59,"MM/DD/YYYY")),0)&gt;=DATE(2027,3,1),IFERROR(DATEVALUE(TEXT(Assumptions!B59,"MM/DD/YYYY")),0)&lt;=DATE(2027,3,31)),1,0)+IF(AND(Assumptions!B60&lt;&gt;"",IFERROR(DATEVALUE(TEXT(Assumptions!B60,"MM/DD/YYYY")),0)&gt;=DATE(2027,3,1),IFERROR(DATEVALUE(TEXT(Assumptions!B60,"MM/DD/YYYY")),0)&lt;=DATE(2027,3,31)),1,0))&gt;0,0,-('Working Capital'!H8-'Working Capital'!G8))</f>
        <v/>
      </c>
      <c r="I11" s="156">
        <f>IF((IF(AND(Assumptions!B51&lt;&gt;"",IFERROR(DATEVALUE(TEXT(Assumptions!B51,"MM/DD/YYYY")),0)&gt;=DATE(2027,4,1),IFERROR(DATEVALUE(TEXT(Assumptions!B51,"MM/DD/YYYY")),0)&lt;=DATE(2027,4,30)),1,0)+IF(AND(Assumptions!B52&lt;&gt;"",IFERROR(DATEVALUE(TEXT(Assumptions!B52,"MM/DD/YYYY")),0)&gt;=DATE(2027,4,1),IFERROR(DATEVALUE(TEXT(Assumptions!B52,"MM/DD/YYYY")),0)&lt;=DATE(2027,4,30)),1,0)+IF(AND(Assumptions!B53&lt;&gt;"",IFERROR(DATEVALUE(TEXT(Assumptions!B53,"MM/DD/YYYY")),0)&gt;=DATE(2027,4,1),IFERROR(DATEVALUE(TEXT(Assumptions!B53,"MM/DD/YYYY")),0)&lt;=DATE(2027,4,30)),1,0)+IF(AND(Assumptions!B54&lt;&gt;"",IFERROR(DATEVALUE(TEXT(Assumptions!B54,"MM/DD/YYYY")),0)&gt;=DATE(2027,4,1),IFERROR(DATEVALUE(TEXT(Assumptions!B54,"MM/DD/YYYY")),0)&lt;=DATE(2027,4,30)),1,0)+IF(AND(Assumptions!B55&lt;&gt;"",IFERROR(DATEVALUE(TEXT(Assumptions!B55,"MM/DD/YYYY")),0)&gt;=DATE(2027,4,1),IFERROR(DATEVALUE(TEXT(Assumptions!B55,"MM/DD/YYYY")),0)&lt;=DATE(2027,4,30)),1,0)+IF(AND(Assumptions!B56&lt;&gt;"",IFERROR(DATEVALUE(TEXT(Assumptions!B56,"MM/DD/YYYY")),0)&gt;=DATE(2027,4,1),IFERROR(DATEVALUE(TEXT(Assumptions!B56,"MM/DD/YYYY")),0)&lt;=DATE(2027,4,30)),1,0)+IF(AND(Assumptions!B57&lt;&gt;"",IFERROR(DATEVALUE(TEXT(Assumptions!B57,"MM/DD/YYYY")),0)&gt;=DATE(2027,4,1),IFERROR(DATEVALUE(TEXT(Assumptions!B57,"MM/DD/YYYY")),0)&lt;=DATE(2027,4,30)),1,0)+IF(AND(Assumptions!B58&lt;&gt;"",IFERROR(DATEVALUE(TEXT(Assumptions!B58,"MM/DD/YYYY")),0)&gt;=DATE(2027,4,1),IFERROR(DATEVALUE(TEXT(Assumptions!B58,"MM/DD/YYYY")),0)&lt;=DATE(2027,4,30)),1,0)+IF(AND(Assumptions!B59&lt;&gt;"",IFERROR(DATEVALUE(TEXT(Assumptions!B59,"MM/DD/YYYY")),0)&gt;=DATE(2027,4,1),IFERROR(DATEVALUE(TEXT(Assumptions!B59,"MM/DD/YYYY")),0)&lt;=DATE(2027,4,30)),1,0)+IF(AND(Assumptions!B60&lt;&gt;"",IFERROR(DATEVALUE(TEXT(Assumptions!B60,"MM/DD/YYYY")),0)&gt;=DATE(2027,4,1),IFERROR(DATEVALUE(TEXT(Assumptions!B60,"MM/DD/YYYY")),0)&lt;=DATE(2027,4,30)),1,0))&gt;0,0,-('Working Capital'!I8-'Working Capital'!H8))</f>
        <v/>
      </c>
      <c r="J11" s="156">
        <f>IF((IF(AND(Assumptions!B51&lt;&gt;"",IFERROR(DATEVALUE(TEXT(Assumptions!B51,"MM/DD/YYYY")),0)&gt;=DATE(2027,5,1),IFERROR(DATEVALUE(TEXT(Assumptions!B51,"MM/DD/YYYY")),0)&lt;=DATE(2027,5,31)),1,0)+IF(AND(Assumptions!B52&lt;&gt;"",IFERROR(DATEVALUE(TEXT(Assumptions!B52,"MM/DD/YYYY")),0)&gt;=DATE(2027,5,1),IFERROR(DATEVALUE(TEXT(Assumptions!B52,"MM/DD/YYYY")),0)&lt;=DATE(2027,5,31)),1,0)+IF(AND(Assumptions!B53&lt;&gt;"",IFERROR(DATEVALUE(TEXT(Assumptions!B53,"MM/DD/YYYY")),0)&gt;=DATE(2027,5,1),IFERROR(DATEVALUE(TEXT(Assumptions!B53,"MM/DD/YYYY")),0)&lt;=DATE(2027,5,31)),1,0)+IF(AND(Assumptions!B54&lt;&gt;"",IFERROR(DATEVALUE(TEXT(Assumptions!B54,"MM/DD/YYYY")),0)&gt;=DATE(2027,5,1),IFERROR(DATEVALUE(TEXT(Assumptions!B54,"MM/DD/YYYY")),0)&lt;=DATE(2027,5,31)),1,0)+IF(AND(Assumptions!B55&lt;&gt;"",IFERROR(DATEVALUE(TEXT(Assumptions!B55,"MM/DD/YYYY")),0)&gt;=DATE(2027,5,1),IFERROR(DATEVALUE(TEXT(Assumptions!B55,"MM/DD/YYYY")),0)&lt;=DATE(2027,5,31)),1,0)+IF(AND(Assumptions!B56&lt;&gt;"",IFERROR(DATEVALUE(TEXT(Assumptions!B56,"MM/DD/YYYY")),0)&gt;=DATE(2027,5,1),IFERROR(DATEVALUE(TEXT(Assumptions!B56,"MM/DD/YYYY")),0)&lt;=DATE(2027,5,31)),1,0)+IF(AND(Assumptions!B57&lt;&gt;"",IFERROR(DATEVALUE(TEXT(Assumptions!B57,"MM/DD/YYYY")),0)&gt;=DATE(2027,5,1),IFERROR(DATEVALUE(TEXT(Assumptions!B57,"MM/DD/YYYY")),0)&lt;=DATE(2027,5,31)),1,0)+IF(AND(Assumptions!B58&lt;&gt;"",IFERROR(DATEVALUE(TEXT(Assumptions!B58,"MM/DD/YYYY")),0)&gt;=DATE(2027,5,1),IFERROR(DATEVALUE(TEXT(Assumptions!B58,"MM/DD/YYYY")),0)&lt;=DATE(2027,5,31)),1,0)+IF(AND(Assumptions!B59&lt;&gt;"",IFERROR(DATEVALUE(TEXT(Assumptions!B59,"MM/DD/YYYY")),0)&gt;=DATE(2027,5,1),IFERROR(DATEVALUE(TEXT(Assumptions!B59,"MM/DD/YYYY")),0)&lt;=DATE(2027,5,31)),1,0)+IF(AND(Assumptions!B60&lt;&gt;"",IFERROR(DATEVALUE(TEXT(Assumptions!B60,"MM/DD/YYYY")),0)&gt;=DATE(2027,5,1),IFERROR(DATEVALUE(TEXT(Assumptions!B60,"MM/DD/YYYY")),0)&lt;=DATE(2027,5,31)),1,0))&gt;0,0,-('Working Capital'!J8-'Working Capital'!I8))</f>
        <v/>
      </c>
      <c r="K11" s="156">
        <f>IF((IF(AND(Assumptions!B51&lt;&gt;"",IFERROR(DATEVALUE(TEXT(Assumptions!B51,"MM/DD/YYYY")),0)&gt;=DATE(2027,6,1),IFERROR(DATEVALUE(TEXT(Assumptions!B51,"MM/DD/YYYY")),0)&lt;=DATE(2027,6,30)),1,0)+IF(AND(Assumptions!B52&lt;&gt;"",IFERROR(DATEVALUE(TEXT(Assumptions!B52,"MM/DD/YYYY")),0)&gt;=DATE(2027,6,1),IFERROR(DATEVALUE(TEXT(Assumptions!B52,"MM/DD/YYYY")),0)&lt;=DATE(2027,6,30)),1,0)+IF(AND(Assumptions!B53&lt;&gt;"",IFERROR(DATEVALUE(TEXT(Assumptions!B53,"MM/DD/YYYY")),0)&gt;=DATE(2027,6,1),IFERROR(DATEVALUE(TEXT(Assumptions!B53,"MM/DD/YYYY")),0)&lt;=DATE(2027,6,30)),1,0)+IF(AND(Assumptions!B54&lt;&gt;"",IFERROR(DATEVALUE(TEXT(Assumptions!B54,"MM/DD/YYYY")),0)&gt;=DATE(2027,6,1),IFERROR(DATEVALUE(TEXT(Assumptions!B54,"MM/DD/YYYY")),0)&lt;=DATE(2027,6,30)),1,0)+IF(AND(Assumptions!B55&lt;&gt;"",IFERROR(DATEVALUE(TEXT(Assumptions!B55,"MM/DD/YYYY")),0)&gt;=DATE(2027,6,1),IFERROR(DATEVALUE(TEXT(Assumptions!B55,"MM/DD/YYYY")),0)&lt;=DATE(2027,6,30)),1,0)+IF(AND(Assumptions!B56&lt;&gt;"",IFERROR(DATEVALUE(TEXT(Assumptions!B56,"MM/DD/YYYY")),0)&gt;=DATE(2027,6,1),IFERROR(DATEVALUE(TEXT(Assumptions!B56,"MM/DD/YYYY")),0)&lt;=DATE(2027,6,30)),1,0)+IF(AND(Assumptions!B57&lt;&gt;"",IFERROR(DATEVALUE(TEXT(Assumptions!B57,"MM/DD/YYYY")),0)&gt;=DATE(2027,6,1),IFERROR(DATEVALUE(TEXT(Assumptions!B57,"MM/DD/YYYY")),0)&lt;=DATE(2027,6,30)),1,0)+IF(AND(Assumptions!B58&lt;&gt;"",IFERROR(DATEVALUE(TEXT(Assumptions!B58,"MM/DD/YYYY")),0)&gt;=DATE(2027,6,1),IFERROR(DATEVALUE(TEXT(Assumptions!B58,"MM/DD/YYYY")),0)&lt;=DATE(2027,6,30)),1,0)+IF(AND(Assumptions!B59&lt;&gt;"",IFERROR(DATEVALUE(TEXT(Assumptions!B59,"MM/DD/YYYY")),0)&gt;=DATE(2027,6,1),IFERROR(DATEVALUE(TEXT(Assumptions!B59,"MM/DD/YYYY")),0)&lt;=DATE(2027,6,30)),1,0)+IF(AND(Assumptions!B60&lt;&gt;"",IFERROR(DATEVALUE(TEXT(Assumptions!B60,"MM/DD/YYYY")),0)&gt;=DATE(2027,6,1),IFERROR(DATEVALUE(TEXT(Assumptions!B60,"MM/DD/YYYY")),0)&lt;=DATE(2027,6,30)),1,0))&gt;0,0,-('Working Capital'!K8-'Working Capital'!J8))</f>
        <v/>
      </c>
      <c r="L11" s="156">
        <f>IF((IF(AND(Assumptions!B51&lt;&gt;"",IFERROR(DATEVALUE(TEXT(Assumptions!B51,"MM/DD/YYYY")),0)&gt;=DATE(2027,7,1),IFERROR(DATEVALUE(TEXT(Assumptions!B51,"MM/DD/YYYY")),0)&lt;=DATE(2027,7,31)),1,0)+IF(AND(Assumptions!B52&lt;&gt;"",IFERROR(DATEVALUE(TEXT(Assumptions!B52,"MM/DD/YYYY")),0)&gt;=DATE(2027,7,1),IFERROR(DATEVALUE(TEXT(Assumptions!B52,"MM/DD/YYYY")),0)&lt;=DATE(2027,7,31)),1,0)+IF(AND(Assumptions!B53&lt;&gt;"",IFERROR(DATEVALUE(TEXT(Assumptions!B53,"MM/DD/YYYY")),0)&gt;=DATE(2027,7,1),IFERROR(DATEVALUE(TEXT(Assumptions!B53,"MM/DD/YYYY")),0)&lt;=DATE(2027,7,31)),1,0)+IF(AND(Assumptions!B54&lt;&gt;"",IFERROR(DATEVALUE(TEXT(Assumptions!B54,"MM/DD/YYYY")),0)&gt;=DATE(2027,7,1),IFERROR(DATEVALUE(TEXT(Assumptions!B54,"MM/DD/YYYY")),0)&lt;=DATE(2027,7,31)),1,0)+IF(AND(Assumptions!B55&lt;&gt;"",IFERROR(DATEVALUE(TEXT(Assumptions!B55,"MM/DD/YYYY")),0)&gt;=DATE(2027,7,1),IFERROR(DATEVALUE(TEXT(Assumptions!B55,"MM/DD/YYYY")),0)&lt;=DATE(2027,7,31)),1,0)+IF(AND(Assumptions!B56&lt;&gt;"",IFERROR(DATEVALUE(TEXT(Assumptions!B56,"MM/DD/YYYY")),0)&gt;=DATE(2027,7,1),IFERROR(DATEVALUE(TEXT(Assumptions!B56,"MM/DD/YYYY")),0)&lt;=DATE(2027,7,31)),1,0)+IF(AND(Assumptions!B57&lt;&gt;"",IFERROR(DATEVALUE(TEXT(Assumptions!B57,"MM/DD/YYYY")),0)&gt;=DATE(2027,7,1),IFERROR(DATEVALUE(TEXT(Assumptions!B57,"MM/DD/YYYY")),0)&lt;=DATE(2027,7,31)),1,0)+IF(AND(Assumptions!B58&lt;&gt;"",IFERROR(DATEVALUE(TEXT(Assumptions!B58,"MM/DD/YYYY")),0)&gt;=DATE(2027,7,1),IFERROR(DATEVALUE(TEXT(Assumptions!B58,"MM/DD/YYYY")),0)&lt;=DATE(2027,7,31)),1,0)+IF(AND(Assumptions!B59&lt;&gt;"",IFERROR(DATEVALUE(TEXT(Assumptions!B59,"MM/DD/YYYY")),0)&gt;=DATE(2027,7,1),IFERROR(DATEVALUE(TEXT(Assumptions!B59,"MM/DD/YYYY")),0)&lt;=DATE(2027,7,31)),1,0)+IF(AND(Assumptions!B60&lt;&gt;"",IFERROR(DATEVALUE(TEXT(Assumptions!B60,"MM/DD/YYYY")),0)&gt;=DATE(2027,7,1),IFERROR(DATEVALUE(TEXT(Assumptions!B60,"MM/DD/YYYY")),0)&lt;=DATE(2027,7,31)),1,0))&gt;0,0,-('Working Capital'!L8-'Working Capital'!K8))</f>
        <v/>
      </c>
      <c r="M11" s="156">
        <f>IF((IF(AND(Assumptions!B51&lt;&gt;"",IFERROR(DATEVALUE(TEXT(Assumptions!B51,"MM/DD/YYYY")),0)&gt;=DATE(2027,8,1),IFERROR(DATEVALUE(TEXT(Assumptions!B51,"MM/DD/YYYY")),0)&lt;=DATE(2027,8,31)),1,0)+IF(AND(Assumptions!B52&lt;&gt;"",IFERROR(DATEVALUE(TEXT(Assumptions!B52,"MM/DD/YYYY")),0)&gt;=DATE(2027,8,1),IFERROR(DATEVALUE(TEXT(Assumptions!B52,"MM/DD/YYYY")),0)&lt;=DATE(2027,8,31)),1,0)+IF(AND(Assumptions!B53&lt;&gt;"",IFERROR(DATEVALUE(TEXT(Assumptions!B53,"MM/DD/YYYY")),0)&gt;=DATE(2027,8,1),IFERROR(DATEVALUE(TEXT(Assumptions!B53,"MM/DD/YYYY")),0)&lt;=DATE(2027,8,31)),1,0)+IF(AND(Assumptions!B54&lt;&gt;"",IFERROR(DATEVALUE(TEXT(Assumptions!B54,"MM/DD/YYYY")),0)&gt;=DATE(2027,8,1),IFERROR(DATEVALUE(TEXT(Assumptions!B54,"MM/DD/YYYY")),0)&lt;=DATE(2027,8,31)),1,0)+IF(AND(Assumptions!B55&lt;&gt;"",IFERROR(DATEVALUE(TEXT(Assumptions!B55,"MM/DD/YYYY")),0)&gt;=DATE(2027,8,1),IFERROR(DATEVALUE(TEXT(Assumptions!B55,"MM/DD/YYYY")),0)&lt;=DATE(2027,8,31)),1,0)+IF(AND(Assumptions!B56&lt;&gt;"",IFERROR(DATEVALUE(TEXT(Assumptions!B56,"MM/DD/YYYY")),0)&gt;=DATE(2027,8,1),IFERROR(DATEVALUE(TEXT(Assumptions!B56,"MM/DD/YYYY")),0)&lt;=DATE(2027,8,31)),1,0)+IF(AND(Assumptions!B57&lt;&gt;"",IFERROR(DATEVALUE(TEXT(Assumptions!B57,"MM/DD/YYYY")),0)&gt;=DATE(2027,8,1),IFERROR(DATEVALUE(TEXT(Assumptions!B57,"MM/DD/YYYY")),0)&lt;=DATE(2027,8,31)),1,0)+IF(AND(Assumptions!B58&lt;&gt;"",IFERROR(DATEVALUE(TEXT(Assumptions!B58,"MM/DD/YYYY")),0)&gt;=DATE(2027,8,1),IFERROR(DATEVALUE(TEXT(Assumptions!B58,"MM/DD/YYYY")),0)&lt;=DATE(2027,8,31)),1,0)+IF(AND(Assumptions!B59&lt;&gt;"",IFERROR(DATEVALUE(TEXT(Assumptions!B59,"MM/DD/YYYY")),0)&gt;=DATE(2027,8,1),IFERROR(DATEVALUE(TEXT(Assumptions!B59,"MM/DD/YYYY")),0)&lt;=DATE(2027,8,31)),1,0)+IF(AND(Assumptions!B60&lt;&gt;"",IFERROR(DATEVALUE(TEXT(Assumptions!B60,"MM/DD/YYYY")),0)&gt;=DATE(2027,8,1),IFERROR(DATEVALUE(TEXT(Assumptions!B60,"MM/DD/YYYY")),0)&lt;=DATE(2027,8,31)),1,0))&gt;0,0,-('Working Capital'!M8-'Working Capital'!L8))</f>
        <v/>
      </c>
      <c r="N11" s="156">
        <f>IF((IF(AND(Assumptions!B51&lt;&gt;"",IFERROR(DATEVALUE(TEXT(Assumptions!B51,"MM/DD/YYYY")),0)&gt;=DATE(2027,9,1),IFERROR(DATEVALUE(TEXT(Assumptions!B51,"MM/DD/YYYY")),0)&lt;=DATE(2027,9,30)),1,0)+IF(AND(Assumptions!B52&lt;&gt;"",IFERROR(DATEVALUE(TEXT(Assumptions!B52,"MM/DD/YYYY")),0)&gt;=DATE(2027,9,1),IFERROR(DATEVALUE(TEXT(Assumptions!B52,"MM/DD/YYYY")),0)&lt;=DATE(2027,9,30)),1,0)+IF(AND(Assumptions!B53&lt;&gt;"",IFERROR(DATEVALUE(TEXT(Assumptions!B53,"MM/DD/YYYY")),0)&gt;=DATE(2027,9,1),IFERROR(DATEVALUE(TEXT(Assumptions!B53,"MM/DD/YYYY")),0)&lt;=DATE(2027,9,30)),1,0)+IF(AND(Assumptions!B54&lt;&gt;"",IFERROR(DATEVALUE(TEXT(Assumptions!B54,"MM/DD/YYYY")),0)&gt;=DATE(2027,9,1),IFERROR(DATEVALUE(TEXT(Assumptions!B54,"MM/DD/YYYY")),0)&lt;=DATE(2027,9,30)),1,0)+IF(AND(Assumptions!B55&lt;&gt;"",IFERROR(DATEVALUE(TEXT(Assumptions!B55,"MM/DD/YYYY")),0)&gt;=DATE(2027,9,1),IFERROR(DATEVALUE(TEXT(Assumptions!B55,"MM/DD/YYYY")),0)&lt;=DATE(2027,9,30)),1,0)+IF(AND(Assumptions!B56&lt;&gt;"",IFERROR(DATEVALUE(TEXT(Assumptions!B56,"MM/DD/YYYY")),0)&gt;=DATE(2027,9,1),IFERROR(DATEVALUE(TEXT(Assumptions!B56,"MM/DD/YYYY")),0)&lt;=DATE(2027,9,30)),1,0)+IF(AND(Assumptions!B57&lt;&gt;"",IFERROR(DATEVALUE(TEXT(Assumptions!B57,"MM/DD/YYYY")),0)&gt;=DATE(2027,9,1),IFERROR(DATEVALUE(TEXT(Assumptions!B57,"MM/DD/YYYY")),0)&lt;=DATE(2027,9,30)),1,0)+IF(AND(Assumptions!B58&lt;&gt;"",IFERROR(DATEVALUE(TEXT(Assumptions!B58,"MM/DD/YYYY")),0)&gt;=DATE(2027,9,1),IFERROR(DATEVALUE(TEXT(Assumptions!B58,"MM/DD/YYYY")),0)&lt;=DATE(2027,9,30)),1,0)+IF(AND(Assumptions!B59&lt;&gt;"",IFERROR(DATEVALUE(TEXT(Assumptions!B59,"MM/DD/YYYY")),0)&gt;=DATE(2027,9,1),IFERROR(DATEVALUE(TEXT(Assumptions!B59,"MM/DD/YYYY")),0)&lt;=DATE(2027,9,30)),1,0)+IF(AND(Assumptions!B60&lt;&gt;"",IFERROR(DATEVALUE(TEXT(Assumptions!B60,"MM/DD/YYYY")),0)&gt;=DATE(2027,9,1),IFERROR(DATEVALUE(TEXT(Assumptions!B60,"MM/DD/YYYY")),0)&lt;=DATE(2027,9,30)),1,0))&gt;0,0,-('Working Capital'!N8-'Working Capital'!M8))</f>
        <v/>
      </c>
      <c r="O11" s="156">
        <f>IF((IF(AND(Assumptions!B51&lt;&gt;"",IFERROR(DATEVALUE(TEXT(Assumptions!B51,"MM/DD/YYYY")),0)&gt;=DATE(2027,10,1),IFERROR(DATEVALUE(TEXT(Assumptions!B51,"MM/DD/YYYY")),0)&lt;=DATE(2027,10,31)),1,0)+IF(AND(Assumptions!B52&lt;&gt;"",IFERROR(DATEVALUE(TEXT(Assumptions!B52,"MM/DD/YYYY")),0)&gt;=DATE(2027,10,1),IFERROR(DATEVALUE(TEXT(Assumptions!B52,"MM/DD/YYYY")),0)&lt;=DATE(2027,10,31)),1,0)+IF(AND(Assumptions!B53&lt;&gt;"",IFERROR(DATEVALUE(TEXT(Assumptions!B53,"MM/DD/YYYY")),0)&gt;=DATE(2027,10,1),IFERROR(DATEVALUE(TEXT(Assumptions!B53,"MM/DD/YYYY")),0)&lt;=DATE(2027,10,31)),1,0)+IF(AND(Assumptions!B54&lt;&gt;"",IFERROR(DATEVALUE(TEXT(Assumptions!B54,"MM/DD/YYYY")),0)&gt;=DATE(2027,10,1),IFERROR(DATEVALUE(TEXT(Assumptions!B54,"MM/DD/YYYY")),0)&lt;=DATE(2027,10,31)),1,0)+IF(AND(Assumptions!B55&lt;&gt;"",IFERROR(DATEVALUE(TEXT(Assumptions!B55,"MM/DD/YYYY")),0)&gt;=DATE(2027,10,1),IFERROR(DATEVALUE(TEXT(Assumptions!B55,"MM/DD/YYYY")),0)&lt;=DATE(2027,10,31)),1,0)+IF(AND(Assumptions!B56&lt;&gt;"",IFERROR(DATEVALUE(TEXT(Assumptions!B56,"MM/DD/YYYY")),0)&gt;=DATE(2027,10,1),IFERROR(DATEVALUE(TEXT(Assumptions!B56,"MM/DD/YYYY")),0)&lt;=DATE(2027,10,31)),1,0)+IF(AND(Assumptions!B57&lt;&gt;"",IFERROR(DATEVALUE(TEXT(Assumptions!B57,"MM/DD/YYYY")),0)&gt;=DATE(2027,10,1),IFERROR(DATEVALUE(TEXT(Assumptions!B57,"MM/DD/YYYY")),0)&lt;=DATE(2027,10,31)),1,0)+IF(AND(Assumptions!B58&lt;&gt;"",IFERROR(DATEVALUE(TEXT(Assumptions!B58,"MM/DD/YYYY")),0)&gt;=DATE(2027,10,1),IFERROR(DATEVALUE(TEXT(Assumptions!B58,"MM/DD/YYYY")),0)&lt;=DATE(2027,10,31)),1,0)+IF(AND(Assumptions!B59&lt;&gt;"",IFERROR(DATEVALUE(TEXT(Assumptions!B59,"MM/DD/YYYY")),0)&gt;=DATE(2027,10,1),IFERROR(DATEVALUE(TEXT(Assumptions!B59,"MM/DD/YYYY")),0)&lt;=DATE(2027,10,31)),1,0)+IF(AND(Assumptions!B60&lt;&gt;"",IFERROR(DATEVALUE(TEXT(Assumptions!B60,"MM/DD/YYYY")),0)&gt;=DATE(2027,10,1),IFERROR(DATEVALUE(TEXT(Assumptions!B60,"MM/DD/YYYY")),0)&lt;=DATE(2027,10,31)),1,0))&gt;0,0,-('Working Capital'!O8-'Working Capital'!N8))</f>
        <v/>
      </c>
      <c r="P11" s="156">
        <f>IF((IF(AND(Assumptions!B51&lt;&gt;"",IFERROR(DATEVALUE(TEXT(Assumptions!B51,"MM/DD/YYYY")),0)&gt;=DATE(2027,11,1),IFERROR(DATEVALUE(TEXT(Assumptions!B51,"MM/DD/YYYY")),0)&lt;=DATE(2027,11,30)),1,0)+IF(AND(Assumptions!B52&lt;&gt;"",IFERROR(DATEVALUE(TEXT(Assumptions!B52,"MM/DD/YYYY")),0)&gt;=DATE(2027,11,1),IFERROR(DATEVALUE(TEXT(Assumptions!B52,"MM/DD/YYYY")),0)&lt;=DATE(2027,11,30)),1,0)+IF(AND(Assumptions!B53&lt;&gt;"",IFERROR(DATEVALUE(TEXT(Assumptions!B53,"MM/DD/YYYY")),0)&gt;=DATE(2027,11,1),IFERROR(DATEVALUE(TEXT(Assumptions!B53,"MM/DD/YYYY")),0)&lt;=DATE(2027,11,30)),1,0)+IF(AND(Assumptions!B54&lt;&gt;"",IFERROR(DATEVALUE(TEXT(Assumptions!B54,"MM/DD/YYYY")),0)&gt;=DATE(2027,11,1),IFERROR(DATEVALUE(TEXT(Assumptions!B54,"MM/DD/YYYY")),0)&lt;=DATE(2027,11,30)),1,0)+IF(AND(Assumptions!B55&lt;&gt;"",IFERROR(DATEVALUE(TEXT(Assumptions!B55,"MM/DD/YYYY")),0)&gt;=DATE(2027,11,1),IFERROR(DATEVALUE(TEXT(Assumptions!B55,"MM/DD/YYYY")),0)&lt;=DATE(2027,11,30)),1,0)+IF(AND(Assumptions!B56&lt;&gt;"",IFERROR(DATEVALUE(TEXT(Assumptions!B56,"MM/DD/YYYY")),0)&gt;=DATE(2027,11,1),IFERROR(DATEVALUE(TEXT(Assumptions!B56,"MM/DD/YYYY")),0)&lt;=DATE(2027,11,30)),1,0)+IF(AND(Assumptions!B57&lt;&gt;"",IFERROR(DATEVALUE(TEXT(Assumptions!B57,"MM/DD/YYYY")),0)&gt;=DATE(2027,11,1),IFERROR(DATEVALUE(TEXT(Assumptions!B57,"MM/DD/YYYY")),0)&lt;=DATE(2027,11,30)),1,0)+IF(AND(Assumptions!B58&lt;&gt;"",IFERROR(DATEVALUE(TEXT(Assumptions!B58,"MM/DD/YYYY")),0)&gt;=DATE(2027,11,1),IFERROR(DATEVALUE(TEXT(Assumptions!B58,"MM/DD/YYYY")),0)&lt;=DATE(2027,11,30)),1,0)+IF(AND(Assumptions!B59&lt;&gt;"",IFERROR(DATEVALUE(TEXT(Assumptions!B59,"MM/DD/YYYY")),0)&gt;=DATE(2027,11,1),IFERROR(DATEVALUE(TEXT(Assumptions!B59,"MM/DD/YYYY")),0)&lt;=DATE(2027,11,30)),1,0)+IF(AND(Assumptions!B60&lt;&gt;"",IFERROR(DATEVALUE(TEXT(Assumptions!B60,"MM/DD/YYYY")),0)&gt;=DATE(2027,11,1),IFERROR(DATEVALUE(TEXT(Assumptions!B60,"MM/DD/YYYY")),0)&lt;=DATE(2027,11,30)),1,0))&gt;0,0,-('Working Capital'!P8-'Working Capital'!O8))</f>
        <v/>
      </c>
      <c r="Q11" s="156">
        <f>IF((IF(AND(Assumptions!B51&lt;&gt;"",IFERROR(DATEVALUE(TEXT(Assumptions!B51,"MM/DD/YYYY")),0)&gt;=DATE(2027,12,1),IFERROR(DATEVALUE(TEXT(Assumptions!B51,"MM/DD/YYYY")),0)&lt;=DATE(2027,12,31)),1,0)+IF(AND(Assumptions!B52&lt;&gt;"",IFERROR(DATEVALUE(TEXT(Assumptions!B52,"MM/DD/YYYY")),0)&gt;=DATE(2027,12,1),IFERROR(DATEVALUE(TEXT(Assumptions!B52,"MM/DD/YYYY")),0)&lt;=DATE(2027,12,31)),1,0)+IF(AND(Assumptions!B53&lt;&gt;"",IFERROR(DATEVALUE(TEXT(Assumptions!B53,"MM/DD/YYYY")),0)&gt;=DATE(2027,12,1),IFERROR(DATEVALUE(TEXT(Assumptions!B53,"MM/DD/YYYY")),0)&lt;=DATE(2027,12,31)),1,0)+IF(AND(Assumptions!B54&lt;&gt;"",IFERROR(DATEVALUE(TEXT(Assumptions!B54,"MM/DD/YYYY")),0)&gt;=DATE(2027,12,1),IFERROR(DATEVALUE(TEXT(Assumptions!B54,"MM/DD/YYYY")),0)&lt;=DATE(2027,12,31)),1,0)+IF(AND(Assumptions!B55&lt;&gt;"",IFERROR(DATEVALUE(TEXT(Assumptions!B55,"MM/DD/YYYY")),0)&gt;=DATE(2027,12,1),IFERROR(DATEVALUE(TEXT(Assumptions!B55,"MM/DD/YYYY")),0)&lt;=DATE(2027,12,31)),1,0)+IF(AND(Assumptions!B56&lt;&gt;"",IFERROR(DATEVALUE(TEXT(Assumptions!B56,"MM/DD/YYYY")),0)&gt;=DATE(2027,12,1),IFERROR(DATEVALUE(TEXT(Assumptions!B56,"MM/DD/YYYY")),0)&lt;=DATE(2027,12,31)),1,0)+IF(AND(Assumptions!B57&lt;&gt;"",IFERROR(DATEVALUE(TEXT(Assumptions!B57,"MM/DD/YYYY")),0)&gt;=DATE(2027,12,1),IFERROR(DATEVALUE(TEXT(Assumptions!B57,"MM/DD/YYYY")),0)&lt;=DATE(2027,12,31)),1,0)+IF(AND(Assumptions!B58&lt;&gt;"",IFERROR(DATEVALUE(TEXT(Assumptions!B58,"MM/DD/YYYY")),0)&gt;=DATE(2027,12,1),IFERROR(DATEVALUE(TEXT(Assumptions!B58,"MM/DD/YYYY")),0)&lt;=DATE(2027,12,31)),1,0)+IF(AND(Assumptions!B59&lt;&gt;"",IFERROR(DATEVALUE(TEXT(Assumptions!B59,"MM/DD/YYYY")),0)&gt;=DATE(2027,12,1),IFERROR(DATEVALUE(TEXT(Assumptions!B59,"MM/DD/YYYY")),0)&lt;=DATE(2027,12,31)),1,0)+IF(AND(Assumptions!B60&lt;&gt;"",IFERROR(DATEVALUE(TEXT(Assumptions!B60,"MM/DD/YYYY")),0)&gt;=DATE(2027,12,1),IFERROR(DATEVALUE(TEXT(Assumptions!B60,"MM/DD/YYYY")),0)&lt;=DATE(2027,12,31)),1,0))&gt;0,0,-('Working Capital'!Q8-'Working Capital'!P8))</f>
        <v/>
      </c>
      <c r="R11" s="156">
        <f>IF((IF(AND(Assumptions!B51&lt;&gt;"",IFERROR(DATEVALUE(TEXT(Assumptions!B51,"MM/DD/YYYY")),0)&gt;=DATE(2028,1,1),IFERROR(DATEVALUE(TEXT(Assumptions!B51,"MM/DD/YYYY")),0)&lt;=DATE(2028,1,31)),1,0)+IF(AND(Assumptions!B52&lt;&gt;"",IFERROR(DATEVALUE(TEXT(Assumptions!B52,"MM/DD/YYYY")),0)&gt;=DATE(2028,1,1),IFERROR(DATEVALUE(TEXT(Assumptions!B52,"MM/DD/YYYY")),0)&lt;=DATE(2028,1,31)),1,0)+IF(AND(Assumptions!B53&lt;&gt;"",IFERROR(DATEVALUE(TEXT(Assumptions!B53,"MM/DD/YYYY")),0)&gt;=DATE(2028,1,1),IFERROR(DATEVALUE(TEXT(Assumptions!B53,"MM/DD/YYYY")),0)&lt;=DATE(2028,1,31)),1,0)+IF(AND(Assumptions!B54&lt;&gt;"",IFERROR(DATEVALUE(TEXT(Assumptions!B54,"MM/DD/YYYY")),0)&gt;=DATE(2028,1,1),IFERROR(DATEVALUE(TEXT(Assumptions!B54,"MM/DD/YYYY")),0)&lt;=DATE(2028,1,31)),1,0)+IF(AND(Assumptions!B55&lt;&gt;"",IFERROR(DATEVALUE(TEXT(Assumptions!B55,"MM/DD/YYYY")),0)&gt;=DATE(2028,1,1),IFERROR(DATEVALUE(TEXT(Assumptions!B55,"MM/DD/YYYY")),0)&lt;=DATE(2028,1,31)),1,0)+IF(AND(Assumptions!B56&lt;&gt;"",IFERROR(DATEVALUE(TEXT(Assumptions!B56,"MM/DD/YYYY")),0)&gt;=DATE(2028,1,1),IFERROR(DATEVALUE(TEXT(Assumptions!B56,"MM/DD/YYYY")),0)&lt;=DATE(2028,1,31)),1,0)+IF(AND(Assumptions!B57&lt;&gt;"",IFERROR(DATEVALUE(TEXT(Assumptions!B57,"MM/DD/YYYY")),0)&gt;=DATE(2028,1,1),IFERROR(DATEVALUE(TEXT(Assumptions!B57,"MM/DD/YYYY")),0)&lt;=DATE(2028,1,31)),1,0)+IF(AND(Assumptions!B58&lt;&gt;"",IFERROR(DATEVALUE(TEXT(Assumptions!B58,"MM/DD/YYYY")),0)&gt;=DATE(2028,1,1),IFERROR(DATEVALUE(TEXT(Assumptions!B58,"MM/DD/YYYY")),0)&lt;=DATE(2028,1,31)),1,0)+IF(AND(Assumptions!B59&lt;&gt;"",IFERROR(DATEVALUE(TEXT(Assumptions!B59,"MM/DD/YYYY")),0)&gt;=DATE(2028,1,1),IFERROR(DATEVALUE(TEXT(Assumptions!B59,"MM/DD/YYYY")),0)&lt;=DATE(2028,1,31)),1,0)+IF(AND(Assumptions!B60&lt;&gt;"",IFERROR(DATEVALUE(TEXT(Assumptions!B60,"MM/DD/YYYY")),0)&gt;=DATE(2028,1,1),IFERROR(DATEVALUE(TEXT(Assumptions!B60,"MM/DD/YYYY")),0)&lt;=DATE(2028,1,31)),1,0))&gt;0,0,-('Working Capital'!R8-'Working Capital'!Q8))</f>
        <v/>
      </c>
      <c r="S11" s="156">
        <f>IF((IF(AND(Assumptions!B51&lt;&gt;"",IFERROR(DATEVALUE(TEXT(Assumptions!B51,"MM/DD/YYYY")),0)&gt;=DATE(2028,2,1),IFERROR(DATEVALUE(TEXT(Assumptions!B51,"MM/DD/YYYY")),0)&lt;=DATE(2028,2,29)),1,0)+IF(AND(Assumptions!B52&lt;&gt;"",IFERROR(DATEVALUE(TEXT(Assumptions!B52,"MM/DD/YYYY")),0)&gt;=DATE(2028,2,1),IFERROR(DATEVALUE(TEXT(Assumptions!B52,"MM/DD/YYYY")),0)&lt;=DATE(2028,2,29)),1,0)+IF(AND(Assumptions!B53&lt;&gt;"",IFERROR(DATEVALUE(TEXT(Assumptions!B53,"MM/DD/YYYY")),0)&gt;=DATE(2028,2,1),IFERROR(DATEVALUE(TEXT(Assumptions!B53,"MM/DD/YYYY")),0)&lt;=DATE(2028,2,29)),1,0)+IF(AND(Assumptions!B54&lt;&gt;"",IFERROR(DATEVALUE(TEXT(Assumptions!B54,"MM/DD/YYYY")),0)&gt;=DATE(2028,2,1),IFERROR(DATEVALUE(TEXT(Assumptions!B54,"MM/DD/YYYY")),0)&lt;=DATE(2028,2,29)),1,0)+IF(AND(Assumptions!B55&lt;&gt;"",IFERROR(DATEVALUE(TEXT(Assumptions!B55,"MM/DD/YYYY")),0)&gt;=DATE(2028,2,1),IFERROR(DATEVALUE(TEXT(Assumptions!B55,"MM/DD/YYYY")),0)&lt;=DATE(2028,2,29)),1,0)+IF(AND(Assumptions!B56&lt;&gt;"",IFERROR(DATEVALUE(TEXT(Assumptions!B56,"MM/DD/YYYY")),0)&gt;=DATE(2028,2,1),IFERROR(DATEVALUE(TEXT(Assumptions!B56,"MM/DD/YYYY")),0)&lt;=DATE(2028,2,29)),1,0)+IF(AND(Assumptions!B57&lt;&gt;"",IFERROR(DATEVALUE(TEXT(Assumptions!B57,"MM/DD/YYYY")),0)&gt;=DATE(2028,2,1),IFERROR(DATEVALUE(TEXT(Assumptions!B57,"MM/DD/YYYY")),0)&lt;=DATE(2028,2,29)),1,0)+IF(AND(Assumptions!B58&lt;&gt;"",IFERROR(DATEVALUE(TEXT(Assumptions!B58,"MM/DD/YYYY")),0)&gt;=DATE(2028,2,1),IFERROR(DATEVALUE(TEXT(Assumptions!B58,"MM/DD/YYYY")),0)&lt;=DATE(2028,2,29)),1,0)+IF(AND(Assumptions!B59&lt;&gt;"",IFERROR(DATEVALUE(TEXT(Assumptions!B59,"MM/DD/YYYY")),0)&gt;=DATE(2028,2,1),IFERROR(DATEVALUE(TEXT(Assumptions!B59,"MM/DD/YYYY")),0)&lt;=DATE(2028,2,29)),1,0)+IF(AND(Assumptions!B60&lt;&gt;"",IFERROR(DATEVALUE(TEXT(Assumptions!B60,"MM/DD/YYYY")),0)&gt;=DATE(2028,2,1),IFERROR(DATEVALUE(TEXT(Assumptions!B60,"MM/DD/YYYY")),0)&lt;=DATE(2028,2,29)),1,0))&gt;0,0,-('Working Capital'!S8-'Working Capital'!R8))</f>
        <v/>
      </c>
      <c r="T11" s="156">
        <f>IF((IF(AND(Assumptions!B51&lt;&gt;"",IFERROR(DATEVALUE(TEXT(Assumptions!B51,"MM/DD/YYYY")),0)&gt;=DATE(2028,3,1),IFERROR(DATEVALUE(TEXT(Assumptions!B51,"MM/DD/YYYY")),0)&lt;=DATE(2028,3,31)),1,0)+IF(AND(Assumptions!B52&lt;&gt;"",IFERROR(DATEVALUE(TEXT(Assumptions!B52,"MM/DD/YYYY")),0)&gt;=DATE(2028,3,1),IFERROR(DATEVALUE(TEXT(Assumptions!B52,"MM/DD/YYYY")),0)&lt;=DATE(2028,3,31)),1,0)+IF(AND(Assumptions!B53&lt;&gt;"",IFERROR(DATEVALUE(TEXT(Assumptions!B53,"MM/DD/YYYY")),0)&gt;=DATE(2028,3,1),IFERROR(DATEVALUE(TEXT(Assumptions!B53,"MM/DD/YYYY")),0)&lt;=DATE(2028,3,31)),1,0)+IF(AND(Assumptions!B54&lt;&gt;"",IFERROR(DATEVALUE(TEXT(Assumptions!B54,"MM/DD/YYYY")),0)&gt;=DATE(2028,3,1),IFERROR(DATEVALUE(TEXT(Assumptions!B54,"MM/DD/YYYY")),0)&lt;=DATE(2028,3,31)),1,0)+IF(AND(Assumptions!B55&lt;&gt;"",IFERROR(DATEVALUE(TEXT(Assumptions!B55,"MM/DD/YYYY")),0)&gt;=DATE(2028,3,1),IFERROR(DATEVALUE(TEXT(Assumptions!B55,"MM/DD/YYYY")),0)&lt;=DATE(2028,3,31)),1,0)+IF(AND(Assumptions!B56&lt;&gt;"",IFERROR(DATEVALUE(TEXT(Assumptions!B56,"MM/DD/YYYY")),0)&gt;=DATE(2028,3,1),IFERROR(DATEVALUE(TEXT(Assumptions!B56,"MM/DD/YYYY")),0)&lt;=DATE(2028,3,31)),1,0)+IF(AND(Assumptions!B57&lt;&gt;"",IFERROR(DATEVALUE(TEXT(Assumptions!B57,"MM/DD/YYYY")),0)&gt;=DATE(2028,3,1),IFERROR(DATEVALUE(TEXT(Assumptions!B57,"MM/DD/YYYY")),0)&lt;=DATE(2028,3,31)),1,0)+IF(AND(Assumptions!B58&lt;&gt;"",IFERROR(DATEVALUE(TEXT(Assumptions!B58,"MM/DD/YYYY")),0)&gt;=DATE(2028,3,1),IFERROR(DATEVALUE(TEXT(Assumptions!B58,"MM/DD/YYYY")),0)&lt;=DATE(2028,3,31)),1,0)+IF(AND(Assumptions!B59&lt;&gt;"",IFERROR(DATEVALUE(TEXT(Assumptions!B59,"MM/DD/YYYY")),0)&gt;=DATE(2028,3,1),IFERROR(DATEVALUE(TEXT(Assumptions!B59,"MM/DD/YYYY")),0)&lt;=DATE(2028,3,31)),1,0)+IF(AND(Assumptions!B60&lt;&gt;"",IFERROR(DATEVALUE(TEXT(Assumptions!B60,"MM/DD/YYYY")),0)&gt;=DATE(2028,3,1),IFERROR(DATEVALUE(TEXT(Assumptions!B60,"MM/DD/YYYY")),0)&lt;=DATE(2028,3,31)),1,0))&gt;0,0,-('Working Capital'!T8-'Working Capital'!S8))</f>
        <v/>
      </c>
      <c r="U11" s="156">
        <f>IF((IF(AND(Assumptions!B51&lt;&gt;"",IFERROR(DATEVALUE(TEXT(Assumptions!B51,"MM/DD/YYYY")),0)&gt;=DATE(2028,4,1),IFERROR(DATEVALUE(TEXT(Assumptions!B51,"MM/DD/YYYY")),0)&lt;=DATE(2028,4,30)),1,0)+IF(AND(Assumptions!B52&lt;&gt;"",IFERROR(DATEVALUE(TEXT(Assumptions!B52,"MM/DD/YYYY")),0)&gt;=DATE(2028,4,1),IFERROR(DATEVALUE(TEXT(Assumptions!B52,"MM/DD/YYYY")),0)&lt;=DATE(2028,4,30)),1,0)+IF(AND(Assumptions!B53&lt;&gt;"",IFERROR(DATEVALUE(TEXT(Assumptions!B53,"MM/DD/YYYY")),0)&gt;=DATE(2028,4,1),IFERROR(DATEVALUE(TEXT(Assumptions!B53,"MM/DD/YYYY")),0)&lt;=DATE(2028,4,30)),1,0)+IF(AND(Assumptions!B54&lt;&gt;"",IFERROR(DATEVALUE(TEXT(Assumptions!B54,"MM/DD/YYYY")),0)&gt;=DATE(2028,4,1),IFERROR(DATEVALUE(TEXT(Assumptions!B54,"MM/DD/YYYY")),0)&lt;=DATE(2028,4,30)),1,0)+IF(AND(Assumptions!B55&lt;&gt;"",IFERROR(DATEVALUE(TEXT(Assumptions!B55,"MM/DD/YYYY")),0)&gt;=DATE(2028,4,1),IFERROR(DATEVALUE(TEXT(Assumptions!B55,"MM/DD/YYYY")),0)&lt;=DATE(2028,4,30)),1,0)+IF(AND(Assumptions!B56&lt;&gt;"",IFERROR(DATEVALUE(TEXT(Assumptions!B56,"MM/DD/YYYY")),0)&gt;=DATE(2028,4,1),IFERROR(DATEVALUE(TEXT(Assumptions!B56,"MM/DD/YYYY")),0)&lt;=DATE(2028,4,30)),1,0)+IF(AND(Assumptions!B57&lt;&gt;"",IFERROR(DATEVALUE(TEXT(Assumptions!B57,"MM/DD/YYYY")),0)&gt;=DATE(2028,4,1),IFERROR(DATEVALUE(TEXT(Assumptions!B57,"MM/DD/YYYY")),0)&lt;=DATE(2028,4,30)),1,0)+IF(AND(Assumptions!B58&lt;&gt;"",IFERROR(DATEVALUE(TEXT(Assumptions!B58,"MM/DD/YYYY")),0)&gt;=DATE(2028,4,1),IFERROR(DATEVALUE(TEXT(Assumptions!B58,"MM/DD/YYYY")),0)&lt;=DATE(2028,4,30)),1,0)+IF(AND(Assumptions!B59&lt;&gt;"",IFERROR(DATEVALUE(TEXT(Assumptions!B59,"MM/DD/YYYY")),0)&gt;=DATE(2028,4,1),IFERROR(DATEVALUE(TEXT(Assumptions!B59,"MM/DD/YYYY")),0)&lt;=DATE(2028,4,30)),1,0)+IF(AND(Assumptions!B60&lt;&gt;"",IFERROR(DATEVALUE(TEXT(Assumptions!B60,"MM/DD/YYYY")),0)&gt;=DATE(2028,4,1),IFERROR(DATEVALUE(TEXT(Assumptions!B60,"MM/DD/YYYY")),0)&lt;=DATE(2028,4,30)),1,0))&gt;0,0,-('Working Capital'!U8-'Working Capital'!T8))</f>
        <v/>
      </c>
      <c r="V11" s="156">
        <f>IF((IF(AND(Assumptions!B51&lt;&gt;"",IFERROR(DATEVALUE(TEXT(Assumptions!B51,"MM/DD/YYYY")),0)&gt;=DATE(2028,5,1),IFERROR(DATEVALUE(TEXT(Assumptions!B51,"MM/DD/YYYY")),0)&lt;=DATE(2028,5,31)),1,0)+IF(AND(Assumptions!B52&lt;&gt;"",IFERROR(DATEVALUE(TEXT(Assumptions!B52,"MM/DD/YYYY")),0)&gt;=DATE(2028,5,1),IFERROR(DATEVALUE(TEXT(Assumptions!B52,"MM/DD/YYYY")),0)&lt;=DATE(2028,5,31)),1,0)+IF(AND(Assumptions!B53&lt;&gt;"",IFERROR(DATEVALUE(TEXT(Assumptions!B53,"MM/DD/YYYY")),0)&gt;=DATE(2028,5,1),IFERROR(DATEVALUE(TEXT(Assumptions!B53,"MM/DD/YYYY")),0)&lt;=DATE(2028,5,31)),1,0)+IF(AND(Assumptions!B54&lt;&gt;"",IFERROR(DATEVALUE(TEXT(Assumptions!B54,"MM/DD/YYYY")),0)&gt;=DATE(2028,5,1),IFERROR(DATEVALUE(TEXT(Assumptions!B54,"MM/DD/YYYY")),0)&lt;=DATE(2028,5,31)),1,0)+IF(AND(Assumptions!B55&lt;&gt;"",IFERROR(DATEVALUE(TEXT(Assumptions!B55,"MM/DD/YYYY")),0)&gt;=DATE(2028,5,1),IFERROR(DATEVALUE(TEXT(Assumptions!B55,"MM/DD/YYYY")),0)&lt;=DATE(2028,5,31)),1,0)+IF(AND(Assumptions!B56&lt;&gt;"",IFERROR(DATEVALUE(TEXT(Assumptions!B56,"MM/DD/YYYY")),0)&gt;=DATE(2028,5,1),IFERROR(DATEVALUE(TEXT(Assumptions!B56,"MM/DD/YYYY")),0)&lt;=DATE(2028,5,31)),1,0)+IF(AND(Assumptions!B57&lt;&gt;"",IFERROR(DATEVALUE(TEXT(Assumptions!B57,"MM/DD/YYYY")),0)&gt;=DATE(2028,5,1),IFERROR(DATEVALUE(TEXT(Assumptions!B57,"MM/DD/YYYY")),0)&lt;=DATE(2028,5,31)),1,0)+IF(AND(Assumptions!B58&lt;&gt;"",IFERROR(DATEVALUE(TEXT(Assumptions!B58,"MM/DD/YYYY")),0)&gt;=DATE(2028,5,1),IFERROR(DATEVALUE(TEXT(Assumptions!B58,"MM/DD/YYYY")),0)&lt;=DATE(2028,5,31)),1,0)+IF(AND(Assumptions!B59&lt;&gt;"",IFERROR(DATEVALUE(TEXT(Assumptions!B59,"MM/DD/YYYY")),0)&gt;=DATE(2028,5,1),IFERROR(DATEVALUE(TEXT(Assumptions!B59,"MM/DD/YYYY")),0)&lt;=DATE(2028,5,31)),1,0)+IF(AND(Assumptions!B60&lt;&gt;"",IFERROR(DATEVALUE(TEXT(Assumptions!B60,"MM/DD/YYYY")),0)&gt;=DATE(2028,5,1),IFERROR(DATEVALUE(TEXT(Assumptions!B60,"MM/DD/YYYY")),0)&lt;=DATE(2028,5,31)),1,0))&gt;0,0,-('Working Capital'!V8-'Working Capital'!U8))</f>
        <v/>
      </c>
      <c r="W11" s="156">
        <f>IF((IF(AND(Assumptions!B51&lt;&gt;"",IFERROR(DATEVALUE(TEXT(Assumptions!B51,"MM/DD/YYYY")),0)&gt;=DATE(2028,6,1),IFERROR(DATEVALUE(TEXT(Assumptions!B51,"MM/DD/YYYY")),0)&lt;=DATE(2028,6,30)),1,0)+IF(AND(Assumptions!B52&lt;&gt;"",IFERROR(DATEVALUE(TEXT(Assumptions!B52,"MM/DD/YYYY")),0)&gt;=DATE(2028,6,1),IFERROR(DATEVALUE(TEXT(Assumptions!B52,"MM/DD/YYYY")),0)&lt;=DATE(2028,6,30)),1,0)+IF(AND(Assumptions!B53&lt;&gt;"",IFERROR(DATEVALUE(TEXT(Assumptions!B53,"MM/DD/YYYY")),0)&gt;=DATE(2028,6,1),IFERROR(DATEVALUE(TEXT(Assumptions!B53,"MM/DD/YYYY")),0)&lt;=DATE(2028,6,30)),1,0)+IF(AND(Assumptions!B54&lt;&gt;"",IFERROR(DATEVALUE(TEXT(Assumptions!B54,"MM/DD/YYYY")),0)&gt;=DATE(2028,6,1),IFERROR(DATEVALUE(TEXT(Assumptions!B54,"MM/DD/YYYY")),0)&lt;=DATE(2028,6,30)),1,0)+IF(AND(Assumptions!B55&lt;&gt;"",IFERROR(DATEVALUE(TEXT(Assumptions!B55,"MM/DD/YYYY")),0)&gt;=DATE(2028,6,1),IFERROR(DATEVALUE(TEXT(Assumptions!B55,"MM/DD/YYYY")),0)&lt;=DATE(2028,6,30)),1,0)+IF(AND(Assumptions!B56&lt;&gt;"",IFERROR(DATEVALUE(TEXT(Assumptions!B56,"MM/DD/YYYY")),0)&gt;=DATE(2028,6,1),IFERROR(DATEVALUE(TEXT(Assumptions!B56,"MM/DD/YYYY")),0)&lt;=DATE(2028,6,30)),1,0)+IF(AND(Assumptions!B57&lt;&gt;"",IFERROR(DATEVALUE(TEXT(Assumptions!B57,"MM/DD/YYYY")),0)&gt;=DATE(2028,6,1),IFERROR(DATEVALUE(TEXT(Assumptions!B57,"MM/DD/YYYY")),0)&lt;=DATE(2028,6,30)),1,0)+IF(AND(Assumptions!B58&lt;&gt;"",IFERROR(DATEVALUE(TEXT(Assumptions!B58,"MM/DD/YYYY")),0)&gt;=DATE(2028,6,1),IFERROR(DATEVALUE(TEXT(Assumptions!B58,"MM/DD/YYYY")),0)&lt;=DATE(2028,6,30)),1,0)+IF(AND(Assumptions!B59&lt;&gt;"",IFERROR(DATEVALUE(TEXT(Assumptions!B59,"MM/DD/YYYY")),0)&gt;=DATE(2028,6,1),IFERROR(DATEVALUE(TEXT(Assumptions!B59,"MM/DD/YYYY")),0)&lt;=DATE(2028,6,30)),1,0)+IF(AND(Assumptions!B60&lt;&gt;"",IFERROR(DATEVALUE(TEXT(Assumptions!B60,"MM/DD/YYYY")),0)&gt;=DATE(2028,6,1),IFERROR(DATEVALUE(TEXT(Assumptions!B60,"MM/DD/YYYY")),0)&lt;=DATE(2028,6,30)),1,0))&gt;0,0,-('Working Capital'!W8-'Working Capital'!V8))</f>
        <v/>
      </c>
      <c r="X11" s="156">
        <f>IF((IF(AND(Assumptions!B51&lt;&gt;"",IFERROR(DATEVALUE(TEXT(Assumptions!B51,"MM/DD/YYYY")),0)&gt;=DATE(2028,7,1),IFERROR(DATEVALUE(TEXT(Assumptions!B51,"MM/DD/YYYY")),0)&lt;=DATE(2028,7,31)),1,0)+IF(AND(Assumptions!B52&lt;&gt;"",IFERROR(DATEVALUE(TEXT(Assumptions!B52,"MM/DD/YYYY")),0)&gt;=DATE(2028,7,1),IFERROR(DATEVALUE(TEXT(Assumptions!B52,"MM/DD/YYYY")),0)&lt;=DATE(2028,7,31)),1,0)+IF(AND(Assumptions!B53&lt;&gt;"",IFERROR(DATEVALUE(TEXT(Assumptions!B53,"MM/DD/YYYY")),0)&gt;=DATE(2028,7,1),IFERROR(DATEVALUE(TEXT(Assumptions!B53,"MM/DD/YYYY")),0)&lt;=DATE(2028,7,31)),1,0)+IF(AND(Assumptions!B54&lt;&gt;"",IFERROR(DATEVALUE(TEXT(Assumptions!B54,"MM/DD/YYYY")),0)&gt;=DATE(2028,7,1),IFERROR(DATEVALUE(TEXT(Assumptions!B54,"MM/DD/YYYY")),0)&lt;=DATE(2028,7,31)),1,0)+IF(AND(Assumptions!B55&lt;&gt;"",IFERROR(DATEVALUE(TEXT(Assumptions!B55,"MM/DD/YYYY")),0)&gt;=DATE(2028,7,1),IFERROR(DATEVALUE(TEXT(Assumptions!B55,"MM/DD/YYYY")),0)&lt;=DATE(2028,7,31)),1,0)+IF(AND(Assumptions!B56&lt;&gt;"",IFERROR(DATEVALUE(TEXT(Assumptions!B56,"MM/DD/YYYY")),0)&gt;=DATE(2028,7,1),IFERROR(DATEVALUE(TEXT(Assumptions!B56,"MM/DD/YYYY")),0)&lt;=DATE(2028,7,31)),1,0)+IF(AND(Assumptions!B57&lt;&gt;"",IFERROR(DATEVALUE(TEXT(Assumptions!B57,"MM/DD/YYYY")),0)&gt;=DATE(2028,7,1),IFERROR(DATEVALUE(TEXT(Assumptions!B57,"MM/DD/YYYY")),0)&lt;=DATE(2028,7,31)),1,0)+IF(AND(Assumptions!B58&lt;&gt;"",IFERROR(DATEVALUE(TEXT(Assumptions!B58,"MM/DD/YYYY")),0)&gt;=DATE(2028,7,1),IFERROR(DATEVALUE(TEXT(Assumptions!B58,"MM/DD/YYYY")),0)&lt;=DATE(2028,7,31)),1,0)+IF(AND(Assumptions!B59&lt;&gt;"",IFERROR(DATEVALUE(TEXT(Assumptions!B59,"MM/DD/YYYY")),0)&gt;=DATE(2028,7,1),IFERROR(DATEVALUE(TEXT(Assumptions!B59,"MM/DD/YYYY")),0)&lt;=DATE(2028,7,31)),1,0)+IF(AND(Assumptions!B60&lt;&gt;"",IFERROR(DATEVALUE(TEXT(Assumptions!B60,"MM/DD/YYYY")),0)&gt;=DATE(2028,7,1),IFERROR(DATEVALUE(TEXT(Assumptions!B60,"MM/DD/YYYY")),0)&lt;=DATE(2028,7,31)),1,0))&gt;0,0,-('Working Capital'!X8-'Working Capital'!W8))</f>
        <v/>
      </c>
      <c r="Y11" s="156">
        <f>IF((IF(AND(Assumptions!B51&lt;&gt;"",IFERROR(DATEVALUE(TEXT(Assumptions!B51,"MM/DD/YYYY")),0)&gt;=DATE(2028,8,1),IFERROR(DATEVALUE(TEXT(Assumptions!B51,"MM/DD/YYYY")),0)&lt;=DATE(2028,8,31)),1,0)+IF(AND(Assumptions!B52&lt;&gt;"",IFERROR(DATEVALUE(TEXT(Assumptions!B52,"MM/DD/YYYY")),0)&gt;=DATE(2028,8,1),IFERROR(DATEVALUE(TEXT(Assumptions!B52,"MM/DD/YYYY")),0)&lt;=DATE(2028,8,31)),1,0)+IF(AND(Assumptions!B53&lt;&gt;"",IFERROR(DATEVALUE(TEXT(Assumptions!B53,"MM/DD/YYYY")),0)&gt;=DATE(2028,8,1),IFERROR(DATEVALUE(TEXT(Assumptions!B53,"MM/DD/YYYY")),0)&lt;=DATE(2028,8,31)),1,0)+IF(AND(Assumptions!B54&lt;&gt;"",IFERROR(DATEVALUE(TEXT(Assumptions!B54,"MM/DD/YYYY")),0)&gt;=DATE(2028,8,1),IFERROR(DATEVALUE(TEXT(Assumptions!B54,"MM/DD/YYYY")),0)&lt;=DATE(2028,8,31)),1,0)+IF(AND(Assumptions!B55&lt;&gt;"",IFERROR(DATEVALUE(TEXT(Assumptions!B55,"MM/DD/YYYY")),0)&gt;=DATE(2028,8,1),IFERROR(DATEVALUE(TEXT(Assumptions!B55,"MM/DD/YYYY")),0)&lt;=DATE(2028,8,31)),1,0)+IF(AND(Assumptions!B56&lt;&gt;"",IFERROR(DATEVALUE(TEXT(Assumptions!B56,"MM/DD/YYYY")),0)&gt;=DATE(2028,8,1),IFERROR(DATEVALUE(TEXT(Assumptions!B56,"MM/DD/YYYY")),0)&lt;=DATE(2028,8,31)),1,0)+IF(AND(Assumptions!B57&lt;&gt;"",IFERROR(DATEVALUE(TEXT(Assumptions!B57,"MM/DD/YYYY")),0)&gt;=DATE(2028,8,1),IFERROR(DATEVALUE(TEXT(Assumptions!B57,"MM/DD/YYYY")),0)&lt;=DATE(2028,8,31)),1,0)+IF(AND(Assumptions!B58&lt;&gt;"",IFERROR(DATEVALUE(TEXT(Assumptions!B58,"MM/DD/YYYY")),0)&gt;=DATE(2028,8,1),IFERROR(DATEVALUE(TEXT(Assumptions!B58,"MM/DD/YYYY")),0)&lt;=DATE(2028,8,31)),1,0)+IF(AND(Assumptions!B59&lt;&gt;"",IFERROR(DATEVALUE(TEXT(Assumptions!B59,"MM/DD/YYYY")),0)&gt;=DATE(2028,8,1),IFERROR(DATEVALUE(TEXT(Assumptions!B59,"MM/DD/YYYY")),0)&lt;=DATE(2028,8,31)),1,0)+IF(AND(Assumptions!B60&lt;&gt;"",IFERROR(DATEVALUE(TEXT(Assumptions!B60,"MM/DD/YYYY")),0)&gt;=DATE(2028,8,1),IFERROR(DATEVALUE(TEXT(Assumptions!B60,"MM/DD/YYYY")),0)&lt;=DATE(2028,8,31)),1,0))&gt;0,0,-('Working Capital'!Y8-'Working Capital'!X8))</f>
        <v/>
      </c>
      <c r="Z11" s="156">
        <f>IF((IF(AND(Assumptions!B51&lt;&gt;"",IFERROR(DATEVALUE(TEXT(Assumptions!B51,"MM/DD/YYYY")),0)&gt;=DATE(2028,9,1),IFERROR(DATEVALUE(TEXT(Assumptions!B51,"MM/DD/YYYY")),0)&lt;=DATE(2028,9,30)),1,0)+IF(AND(Assumptions!B52&lt;&gt;"",IFERROR(DATEVALUE(TEXT(Assumptions!B52,"MM/DD/YYYY")),0)&gt;=DATE(2028,9,1),IFERROR(DATEVALUE(TEXT(Assumptions!B52,"MM/DD/YYYY")),0)&lt;=DATE(2028,9,30)),1,0)+IF(AND(Assumptions!B53&lt;&gt;"",IFERROR(DATEVALUE(TEXT(Assumptions!B53,"MM/DD/YYYY")),0)&gt;=DATE(2028,9,1),IFERROR(DATEVALUE(TEXT(Assumptions!B53,"MM/DD/YYYY")),0)&lt;=DATE(2028,9,30)),1,0)+IF(AND(Assumptions!B54&lt;&gt;"",IFERROR(DATEVALUE(TEXT(Assumptions!B54,"MM/DD/YYYY")),0)&gt;=DATE(2028,9,1),IFERROR(DATEVALUE(TEXT(Assumptions!B54,"MM/DD/YYYY")),0)&lt;=DATE(2028,9,30)),1,0)+IF(AND(Assumptions!B55&lt;&gt;"",IFERROR(DATEVALUE(TEXT(Assumptions!B55,"MM/DD/YYYY")),0)&gt;=DATE(2028,9,1),IFERROR(DATEVALUE(TEXT(Assumptions!B55,"MM/DD/YYYY")),0)&lt;=DATE(2028,9,30)),1,0)+IF(AND(Assumptions!B56&lt;&gt;"",IFERROR(DATEVALUE(TEXT(Assumptions!B56,"MM/DD/YYYY")),0)&gt;=DATE(2028,9,1),IFERROR(DATEVALUE(TEXT(Assumptions!B56,"MM/DD/YYYY")),0)&lt;=DATE(2028,9,30)),1,0)+IF(AND(Assumptions!B57&lt;&gt;"",IFERROR(DATEVALUE(TEXT(Assumptions!B57,"MM/DD/YYYY")),0)&gt;=DATE(2028,9,1),IFERROR(DATEVALUE(TEXT(Assumptions!B57,"MM/DD/YYYY")),0)&lt;=DATE(2028,9,30)),1,0)+IF(AND(Assumptions!B58&lt;&gt;"",IFERROR(DATEVALUE(TEXT(Assumptions!B58,"MM/DD/YYYY")),0)&gt;=DATE(2028,9,1),IFERROR(DATEVALUE(TEXT(Assumptions!B58,"MM/DD/YYYY")),0)&lt;=DATE(2028,9,30)),1,0)+IF(AND(Assumptions!B59&lt;&gt;"",IFERROR(DATEVALUE(TEXT(Assumptions!B59,"MM/DD/YYYY")),0)&gt;=DATE(2028,9,1),IFERROR(DATEVALUE(TEXT(Assumptions!B59,"MM/DD/YYYY")),0)&lt;=DATE(2028,9,30)),1,0)+IF(AND(Assumptions!B60&lt;&gt;"",IFERROR(DATEVALUE(TEXT(Assumptions!B60,"MM/DD/YYYY")),0)&gt;=DATE(2028,9,1),IFERROR(DATEVALUE(TEXT(Assumptions!B60,"MM/DD/YYYY")),0)&lt;=DATE(2028,9,30)),1,0))&gt;0,0,-('Working Capital'!Z8-'Working Capital'!Y8))</f>
        <v/>
      </c>
      <c r="AA11" s="156">
        <f>IF((IF(AND(Assumptions!B51&lt;&gt;"",IFERROR(DATEVALUE(TEXT(Assumptions!B51,"MM/DD/YYYY")),0)&gt;=DATE(2028,10,1),IFERROR(DATEVALUE(TEXT(Assumptions!B51,"MM/DD/YYYY")),0)&lt;=DATE(2028,10,31)),1,0)+IF(AND(Assumptions!B52&lt;&gt;"",IFERROR(DATEVALUE(TEXT(Assumptions!B52,"MM/DD/YYYY")),0)&gt;=DATE(2028,10,1),IFERROR(DATEVALUE(TEXT(Assumptions!B52,"MM/DD/YYYY")),0)&lt;=DATE(2028,10,31)),1,0)+IF(AND(Assumptions!B53&lt;&gt;"",IFERROR(DATEVALUE(TEXT(Assumptions!B53,"MM/DD/YYYY")),0)&gt;=DATE(2028,10,1),IFERROR(DATEVALUE(TEXT(Assumptions!B53,"MM/DD/YYYY")),0)&lt;=DATE(2028,10,31)),1,0)+IF(AND(Assumptions!B54&lt;&gt;"",IFERROR(DATEVALUE(TEXT(Assumptions!B54,"MM/DD/YYYY")),0)&gt;=DATE(2028,10,1),IFERROR(DATEVALUE(TEXT(Assumptions!B54,"MM/DD/YYYY")),0)&lt;=DATE(2028,10,31)),1,0)+IF(AND(Assumptions!B55&lt;&gt;"",IFERROR(DATEVALUE(TEXT(Assumptions!B55,"MM/DD/YYYY")),0)&gt;=DATE(2028,10,1),IFERROR(DATEVALUE(TEXT(Assumptions!B55,"MM/DD/YYYY")),0)&lt;=DATE(2028,10,31)),1,0)+IF(AND(Assumptions!B56&lt;&gt;"",IFERROR(DATEVALUE(TEXT(Assumptions!B56,"MM/DD/YYYY")),0)&gt;=DATE(2028,10,1),IFERROR(DATEVALUE(TEXT(Assumptions!B56,"MM/DD/YYYY")),0)&lt;=DATE(2028,10,31)),1,0)+IF(AND(Assumptions!B57&lt;&gt;"",IFERROR(DATEVALUE(TEXT(Assumptions!B57,"MM/DD/YYYY")),0)&gt;=DATE(2028,10,1),IFERROR(DATEVALUE(TEXT(Assumptions!B57,"MM/DD/YYYY")),0)&lt;=DATE(2028,10,31)),1,0)+IF(AND(Assumptions!B58&lt;&gt;"",IFERROR(DATEVALUE(TEXT(Assumptions!B58,"MM/DD/YYYY")),0)&gt;=DATE(2028,10,1),IFERROR(DATEVALUE(TEXT(Assumptions!B58,"MM/DD/YYYY")),0)&lt;=DATE(2028,10,31)),1,0)+IF(AND(Assumptions!B59&lt;&gt;"",IFERROR(DATEVALUE(TEXT(Assumptions!B59,"MM/DD/YYYY")),0)&gt;=DATE(2028,10,1),IFERROR(DATEVALUE(TEXT(Assumptions!B59,"MM/DD/YYYY")),0)&lt;=DATE(2028,10,31)),1,0)+IF(AND(Assumptions!B60&lt;&gt;"",IFERROR(DATEVALUE(TEXT(Assumptions!B60,"MM/DD/YYYY")),0)&gt;=DATE(2028,10,1),IFERROR(DATEVALUE(TEXT(Assumptions!B60,"MM/DD/YYYY")),0)&lt;=DATE(2028,10,31)),1,0))&gt;0,0,-('Working Capital'!AA8-'Working Capital'!Z8))</f>
        <v/>
      </c>
      <c r="AB11" s="156">
        <f>IF((IF(AND(Assumptions!B51&lt;&gt;"",IFERROR(DATEVALUE(TEXT(Assumptions!B51,"MM/DD/YYYY")),0)&gt;=DATE(2028,11,1),IFERROR(DATEVALUE(TEXT(Assumptions!B51,"MM/DD/YYYY")),0)&lt;=DATE(2028,11,30)),1,0)+IF(AND(Assumptions!B52&lt;&gt;"",IFERROR(DATEVALUE(TEXT(Assumptions!B52,"MM/DD/YYYY")),0)&gt;=DATE(2028,11,1),IFERROR(DATEVALUE(TEXT(Assumptions!B52,"MM/DD/YYYY")),0)&lt;=DATE(2028,11,30)),1,0)+IF(AND(Assumptions!B53&lt;&gt;"",IFERROR(DATEVALUE(TEXT(Assumptions!B53,"MM/DD/YYYY")),0)&gt;=DATE(2028,11,1),IFERROR(DATEVALUE(TEXT(Assumptions!B53,"MM/DD/YYYY")),0)&lt;=DATE(2028,11,30)),1,0)+IF(AND(Assumptions!B54&lt;&gt;"",IFERROR(DATEVALUE(TEXT(Assumptions!B54,"MM/DD/YYYY")),0)&gt;=DATE(2028,11,1),IFERROR(DATEVALUE(TEXT(Assumptions!B54,"MM/DD/YYYY")),0)&lt;=DATE(2028,11,30)),1,0)+IF(AND(Assumptions!B55&lt;&gt;"",IFERROR(DATEVALUE(TEXT(Assumptions!B55,"MM/DD/YYYY")),0)&gt;=DATE(2028,11,1),IFERROR(DATEVALUE(TEXT(Assumptions!B55,"MM/DD/YYYY")),0)&lt;=DATE(2028,11,30)),1,0)+IF(AND(Assumptions!B56&lt;&gt;"",IFERROR(DATEVALUE(TEXT(Assumptions!B56,"MM/DD/YYYY")),0)&gt;=DATE(2028,11,1),IFERROR(DATEVALUE(TEXT(Assumptions!B56,"MM/DD/YYYY")),0)&lt;=DATE(2028,11,30)),1,0)+IF(AND(Assumptions!B57&lt;&gt;"",IFERROR(DATEVALUE(TEXT(Assumptions!B57,"MM/DD/YYYY")),0)&gt;=DATE(2028,11,1),IFERROR(DATEVALUE(TEXT(Assumptions!B57,"MM/DD/YYYY")),0)&lt;=DATE(2028,11,30)),1,0)+IF(AND(Assumptions!B58&lt;&gt;"",IFERROR(DATEVALUE(TEXT(Assumptions!B58,"MM/DD/YYYY")),0)&gt;=DATE(2028,11,1),IFERROR(DATEVALUE(TEXT(Assumptions!B58,"MM/DD/YYYY")),0)&lt;=DATE(2028,11,30)),1,0)+IF(AND(Assumptions!B59&lt;&gt;"",IFERROR(DATEVALUE(TEXT(Assumptions!B59,"MM/DD/YYYY")),0)&gt;=DATE(2028,11,1),IFERROR(DATEVALUE(TEXT(Assumptions!B59,"MM/DD/YYYY")),0)&lt;=DATE(2028,11,30)),1,0)+IF(AND(Assumptions!B60&lt;&gt;"",IFERROR(DATEVALUE(TEXT(Assumptions!B60,"MM/DD/YYYY")),0)&gt;=DATE(2028,11,1),IFERROR(DATEVALUE(TEXT(Assumptions!B60,"MM/DD/YYYY")),0)&lt;=DATE(2028,11,30)),1,0))&gt;0,0,-('Working Capital'!AB8-'Working Capital'!AA8))</f>
        <v/>
      </c>
      <c r="AC11" s="156">
        <f>IF((IF(AND(Assumptions!B51&lt;&gt;"",IFERROR(DATEVALUE(TEXT(Assumptions!B51,"MM/DD/YYYY")),0)&gt;=DATE(2028,12,1),IFERROR(DATEVALUE(TEXT(Assumptions!B51,"MM/DD/YYYY")),0)&lt;=DATE(2028,12,31)),1,0)+IF(AND(Assumptions!B52&lt;&gt;"",IFERROR(DATEVALUE(TEXT(Assumptions!B52,"MM/DD/YYYY")),0)&gt;=DATE(2028,12,1),IFERROR(DATEVALUE(TEXT(Assumptions!B52,"MM/DD/YYYY")),0)&lt;=DATE(2028,12,31)),1,0)+IF(AND(Assumptions!B53&lt;&gt;"",IFERROR(DATEVALUE(TEXT(Assumptions!B53,"MM/DD/YYYY")),0)&gt;=DATE(2028,12,1),IFERROR(DATEVALUE(TEXT(Assumptions!B53,"MM/DD/YYYY")),0)&lt;=DATE(2028,12,31)),1,0)+IF(AND(Assumptions!B54&lt;&gt;"",IFERROR(DATEVALUE(TEXT(Assumptions!B54,"MM/DD/YYYY")),0)&gt;=DATE(2028,12,1),IFERROR(DATEVALUE(TEXT(Assumptions!B54,"MM/DD/YYYY")),0)&lt;=DATE(2028,12,31)),1,0)+IF(AND(Assumptions!B55&lt;&gt;"",IFERROR(DATEVALUE(TEXT(Assumptions!B55,"MM/DD/YYYY")),0)&gt;=DATE(2028,12,1),IFERROR(DATEVALUE(TEXT(Assumptions!B55,"MM/DD/YYYY")),0)&lt;=DATE(2028,12,31)),1,0)+IF(AND(Assumptions!B56&lt;&gt;"",IFERROR(DATEVALUE(TEXT(Assumptions!B56,"MM/DD/YYYY")),0)&gt;=DATE(2028,12,1),IFERROR(DATEVALUE(TEXT(Assumptions!B56,"MM/DD/YYYY")),0)&lt;=DATE(2028,12,31)),1,0)+IF(AND(Assumptions!B57&lt;&gt;"",IFERROR(DATEVALUE(TEXT(Assumptions!B57,"MM/DD/YYYY")),0)&gt;=DATE(2028,12,1),IFERROR(DATEVALUE(TEXT(Assumptions!B57,"MM/DD/YYYY")),0)&lt;=DATE(2028,12,31)),1,0)+IF(AND(Assumptions!B58&lt;&gt;"",IFERROR(DATEVALUE(TEXT(Assumptions!B58,"MM/DD/YYYY")),0)&gt;=DATE(2028,12,1),IFERROR(DATEVALUE(TEXT(Assumptions!B58,"MM/DD/YYYY")),0)&lt;=DATE(2028,12,31)),1,0)+IF(AND(Assumptions!B59&lt;&gt;"",IFERROR(DATEVALUE(TEXT(Assumptions!B59,"MM/DD/YYYY")),0)&gt;=DATE(2028,12,1),IFERROR(DATEVALUE(TEXT(Assumptions!B59,"MM/DD/YYYY")),0)&lt;=DATE(2028,12,31)),1,0)+IF(AND(Assumptions!B60&lt;&gt;"",IFERROR(DATEVALUE(TEXT(Assumptions!B60,"MM/DD/YYYY")),0)&gt;=DATE(2028,12,1),IFERROR(DATEVALUE(TEXT(Assumptions!B60,"MM/DD/YYYY")),0)&lt;=DATE(2028,12,31)),1,0))&gt;0,0,-('Working Capital'!AC8-'Working Capital'!AB8))</f>
        <v/>
      </c>
      <c r="AD11" s="156">
        <f>IF((IF(AND(Assumptions!B51&lt;&gt;"",IFERROR(DATEVALUE(TEXT(Assumptions!B51,"MM/DD/YYYY")),0)&gt;=DATE(2029,1,1),IFERROR(DATEVALUE(TEXT(Assumptions!B51,"MM/DD/YYYY")),0)&lt;=DATE(2029,1,31)),1,0)+IF(AND(Assumptions!B52&lt;&gt;"",IFERROR(DATEVALUE(TEXT(Assumptions!B52,"MM/DD/YYYY")),0)&gt;=DATE(2029,1,1),IFERROR(DATEVALUE(TEXT(Assumptions!B52,"MM/DD/YYYY")),0)&lt;=DATE(2029,1,31)),1,0)+IF(AND(Assumptions!B53&lt;&gt;"",IFERROR(DATEVALUE(TEXT(Assumptions!B53,"MM/DD/YYYY")),0)&gt;=DATE(2029,1,1),IFERROR(DATEVALUE(TEXT(Assumptions!B53,"MM/DD/YYYY")),0)&lt;=DATE(2029,1,31)),1,0)+IF(AND(Assumptions!B54&lt;&gt;"",IFERROR(DATEVALUE(TEXT(Assumptions!B54,"MM/DD/YYYY")),0)&gt;=DATE(2029,1,1),IFERROR(DATEVALUE(TEXT(Assumptions!B54,"MM/DD/YYYY")),0)&lt;=DATE(2029,1,31)),1,0)+IF(AND(Assumptions!B55&lt;&gt;"",IFERROR(DATEVALUE(TEXT(Assumptions!B55,"MM/DD/YYYY")),0)&gt;=DATE(2029,1,1),IFERROR(DATEVALUE(TEXT(Assumptions!B55,"MM/DD/YYYY")),0)&lt;=DATE(2029,1,31)),1,0)+IF(AND(Assumptions!B56&lt;&gt;"",IFERROR(DATEVALUE(TEXT(Assumptions!B56,"MM/DD/YYYY")),0)&gt;=DATE(2029,1,1),IFERROR(DATEVALUE(TEXT(Assumptions!B56,"MM/DD/YYYY")),0)&lt;=DATE(2029,1,31)),1,0)+IF(AND(Assumptions!B57&lt;&gt;"",IFERROR(DATEVALUE(TEXT(Assumptions!B57,"MM/DD/YYYY")),0)&gt;=DATE(2029,1,1),IFERROR(DATEVALUE(TEXT(Assumptions!B57,"MM/DD/YYYY")),0)&lt;=DATE(2029,1,31)),1,0)+IF(AND(Assumptions!B58&lt;&gt;"",IFERROR(DATEVALUE(TEXT(Assumptions!B58,"MM/DD/YYYY")),0)&gt;=DATE(2029,1,1),IFERROR(DATEVALUE(TEXT(Assumptions!B58,"MM/DD/YYYY")),0)&lt;=DATE(2029,1,31)),1,0)+IF(AND(Assumptions!B59&lt;&gt;"",IFERROR(DATEVALUE(TEXT(Assumptions!B59,"MM/DD/YYYY")),0)&gt;=DATE(2029,1,1),IFERROR(DATEVALUE(TEXT(Assumptions!B59,"MM/DD/YYYY")),0)&lt;=DATE(2029,1,31)),1,0)+IF(AND(Assumptions!B60&lt;&gt;"",IFERROR(DATEVALUE(TEXT(Assumptions!B60,"MM/DD/YYYY")),0)&gt;=DATE(2029,1,1),IFERROR(DATEVALUE(TEXT(Assumptions!B60,"MM/DD/YYYY")),0)&lt;=DATE(2029,1,31)),1,0))&gt;0,0,-('Working Capital'!AD8-'Working Capital'!AC8))</f>
        <v/>
      </c>
      <c r="AE11" s="156">
        <f>IF((IF(AND(Assumptions!B51&lt;&gt;"",IFERROR(DATEVALUE(TEXT(Assumptions!B51,"MM/DD/YYYY")),0)&gt;=DATE(2029,2,1),IFERROR(DATEVALUE(TEXT(Assumptions!B51,"MM/DD/YYYY")),0)&lt;=DATE(2029,2,28)),1,0)+IF(AND(Assumptions!B52&lt;&gt;"",IFERROR(DATEVALUE(TEXT(Assumptions!B52,"MM/DD/YYYY")),0)&gt;=DATE(2029,2,1),IFERROR(DATEVALUE(TEXT(Assumptions!B52,"MM/DD/YYYY")),0)&lt;=DATE(2029,2,28)),1,0)+IF(AND(Assumptions!B53&lt;&gt;"",IFERROR(DATEVALUE(TEXT(Assumptions!B53,"MM/DD/YYYY")),0)&gt;=DATE(2029,2,1),IFERROR(DATEVALUE(TEXT(Assumptions!B53,"MM/DD/YYYY")),0)&lt;=DATE(2029,2,28)),1,0)+IF(AND(Assumptions!B54&lt;&gt;"",IFERROR(DATEVALUE(TEXT(Assumptions!B54,"MM/DD/YYYY")),0)&gt;=DATE(2029,2,1),IFERROR(DATEVALUE(TEXT(Assumptions!B54,"MM/DD/YYYY")),0)&lt;=DATE(2029,2,28)),1,0)+IF(AND(Assumptions!B55&lt;&gt;"",IFERROR(DATEVALUE(TEXT(Assumptions!B55,"MM/DD/YYYY")),0)&gt;=DATE(2029,2,1),IFERROR(DATEVALUE(TEXT(Assumptions!B55,"MM/DD/YYYY")),0)&lt;=DATE(2029,2,28)),1,0)+IF(AND(Assumptions!B56&lt;&gt;"",IFERROR(DATEVALUE(TEXT(Assumptions!B56,"MM/DD/YYYY")),0)&gt;=DATE(2029,2,1),IFERROR(DATEVALUE(TEXT(Assumptions!B56,"MM/DD/YYYY")),0)&lt;=DATE(2029,2,28)),1,0)+IF(AND(Assumptions!B57&lt;&gt;"",IFERROR(DATEVALUE(TEXT(Assumptions!B57,"MM/DD/YYYY")),0)&gt;=DATE(2029,2,1),IFERROR(DATEVALUE(TEXT(Assumptions!B57,"MM/DD/YYYY")),0)&lt;=DATE(2029,2,28)),1,0)+IF(AND(Assumptions!B58&lt;&gt;"",IFERROR(DATEVALUE(TEXT(Assumptions!B58,"MM/DD/YYYY")),0)&gt;=DATE(2029,2,1),IFERROR(DATEVALUE(TEXT(Assumptions!B58,"MM/DD/YYYY")),0)&lt;=DATE(2029,2,28)),1,0)+IF(AND(Assumptions!B59&lt;&gt;"",IFERROR(DATEVALUE(TEXT(Assumptions!B59,"MM/DD/YYYY")),0)&gt;=DATE(2029,2,1),IFERROR(DATEVALUE(TEXT(Assumptions!B59,"MM/DD/YYYY")),0)&lt;=DATE(2029,2,28)),1,0)+IF(AND(Assumptions!B60&lt;&gt;"",IFERROR(DATEVALUE(TEXT(Assumptions!B60,"MM/DD/YYYY")),0)&gt;=DATE(2029,2,1),IFERROR(DATEVALUE(TEXT(Assumptions!B60,"MM/DD/YYYY")),0)&lt;=DATE(2029,2,28)),1,0))&gt;0,0,-('Working Capital'!AE8-'Working Capital'!AD8))</f>
        <v/>
      </c>
      <c r="AF11" s="156">
        <f>IF((IF(AND(Assumptions!B51&lt;&gt;"",IFERROR(DATEVALUE(TEXT(Assumptions!B51,"MM/DD/YYYY")),0)&gt;=DATE(2029,3,1),IFERROR(DATEVALUE(TEXT(Assumptions!B51,"MM/DD/YYYY")),0)&lt;=DATE(2029,3,31)),1,0)+IF(AND(Assumptions!B52&lt;&gt;"",IFERROR(DATEVALUE(TEXT(Assumptions!B52,"MM/DD/YYYY")),0)&gt;=DATE(2029,3,1),IFERROR(DATEVALUE(TEXT(Assumptions!B52,"MM/DD/YYYY")),0)&lt;=DATE(2029,3,31)),1,0)+IF(AND(Assumptions!B53&lt;&gt;"",IFERROR(DATEVALUE(TEXT(Assumptions!B53,"MM/DD/YYYY")),0)&gt;=DATE(2029,3,1),IFERROR(DATEVALUE(TEXT(Assumptions!B53,"MM/DD/YYYY")),0)&lt;=DATE(2029,3,31)),1,0)+IF(AND(Assumptions!B54&lt;&gt;"",IFERROR(DATEVALUE(TEXT(Assumptions!B54,"MM/DD/YYYY")),0)&gt;=DATE(2029,3,1),IFERROR(DATEVALUE(TEXT(Assumptions!B54,"MM/DD/YYYY")),0)&lt;=DATE(2029,3,31)),1,0)+IF(AND(Assumptions!B55&lt;&gt;"",IFERROR(DATEVALUE(TEXT(Assumptions!B55,"MM/DD/YYYY")),0)&gt;=DATE(2029,3,1),IFERROR(DATEVALUE(TEXT(Assumptions!B55,"MM/DD/YYYY")),0)&lt;=DATE(2029,3,31)),1,0)+IF(AND(Assumptions!B56&lt;&gt;"",IFERROR(DATEVALUE(TEXT(Assumptions!B56,"MM/DD/YYYY")),0)&gt;=DATE(2029,3,1),IFERROR(DATEVALUE(TEXT(Assumptions!B56,"MM/DD/YYYY")),0)&lt;=DATE(2029,3,31)),1,0)+IF(AND(Assumptions!B57&lt;&gt;"",IFERROR(DATEVALUE(TEXT(Assumptions!B57,"MM/DD/YYYY")),0)&gt;=DATE(2029,3,1),IFERROR(DATEVALUE(TEXT(Assumptions!B57,"MM/DD/YYYY")),0)&lt;=DATE(2029,3,31)),1,0)+IF(AND(Assumptions!B58&lt;&gt;"",IFERROR(DATEVALUE(TEXT(Assumptions!B58,"MM/DD/YYYY")),0)&gt;=DATE(2029,3,1),IFERROR(DATEVALUE(TEXT(Assumptions!B58,"MM/DD/YYYY")),0)&lt;=DATE(2029,3,31)),1,0)+IF(AND(Assumptions!B59&lt;&gt;"",IFERROR(DATEVALUE(TEXT(Assumptions!B59,"MM/DD/YYYY")),0)&gt;=DATE(2029,3,1),IFERROR(DATEVALUE(TEXT(Assumptions!B59,"MM/DD/YYYY")),0)&lt;=DATE(2029,3,31)),1,0)+IF(AND(Assumptions!B60&lt;&gt;"",IFERROR(DATEVALUE(TEXT(Assumptions!B60,"MM/DD/YYYY")),0)&gt;=DATE(2029,3,1),IFERROR(DATEVALUE(TEXT(Assumptions!B60,"MM/DD/YYYY")),0)&lt;=DATE(2029,3,31)),1,0))&gt;0,0,-('Working Capital'!AF8-'Working Capital'!AE8))</f>
        <v/>
      </c>
      <c r="AG11" s="156">
        <f>IF((IF(AND(Assumptions!B51&lt;&gt;"",IFERROR(DATEVALUE(TEXT(Assumptions!B51,"MM/DD/YYYY")),0)&gt;=DATE(2029,4,1),IFERROR(DATEVALUE(TEXT(Assumptions!B51,"MM/DD/YYYY")),0)&lt;=DATE(2029,4,30)),1,0)+IF(AND(Assumptions!B52&lt;&gt;"",IFERROR(DATEVALUE(TEXT(Assumptions!B52,"MM/DD/YYYY")),0)&gt;=DATE(2029,4,1),IFERROR(DATEVALUE(TEXT(Assumptions!B52,"MM/DD/YYYY")),0)&lt;=DATE(2029,4,30)),1,0)+IF(AND(Assumptions!B53&lt;&gt;"",IFERROR(DATEVALUE(TEXT(Assumptions!B53,"MM/DD/YYYY")),0)&gt;=DATE(2029,4,1),IFERROR(DATEVALUE(TEXT(Assumptions!B53,"MM/DD/YYYY")),0)&lt;=DATE(2029,4,30)),1,0)+IF(AND(Assumptions!B54&lt;&gt;"",IFERROR(DATEVALUE(TEXT(Assumptions!B54,"MM/DD/YYYY")),0)&gt;=DATE(2029,4,1),IFERROR(DATEVALUE(TEXT(Assumptions!B54,"MM/DD/YYYY")),0)&lt;=DATE(2029,4,30)),1,0)+IF(AND(Assumptions!B55&lt;&gt;"",IFERROR(DATEVALUE(TEXT(Assumptions!B55,"MM/DD/YYYY")),0)&gt;=DATE(2029,4,1),IFERROR(DATEVALUE(TEXT(Assumptions!B55,"MM/DD/YYYY")),0)&lt;=DATE(2029,4,30)),1,0)+IF(AND(Assumptions!B56&lt;&gt;"",IFERROR(DATEVALUE(TEXT(Assumptions!B56,"MM/DD/YYYY")),0)&gt;=DATE(2029,4,1),IFERROR(DATEVALUE(TEXT(Assumptions!B56,"MM/DD/YYYY")),0)&lt;=DATE(2029,4,30)),1,0)+IF(AND(Assumptions!B57&lt;&gt;"",IFERROR(DATEVALUE(TEXT(Assumptions!B57,"MM/DD/YYYY")),0)&gt;=DATE(2029,4,1),IFERROR(DATEVALUE(TEXT(Assumptions!B57,"MM/DD/YYYY")),0)&lt;=DATE(2029,4,30)),1,0)+IF(AND(Assumptions!B58&lt;&gt;"",IFERROR(DATEVALUE(TEXT(Assumptions!B58,"MM/DD/YYYY")),0)&gt;=DATE(2029,4,1),IFERROR(DATEVALUE(TEXT(Assumptions!B58,"MM/DD/YYYY")),0)&lt;=DATE(2029,4,30)),1,0)+IF(AND(Assumptions!B59&lt;&gt;"",IFERROR(DATEVALUE(TEXT(Assumptions!B59,"MM/DD/YYYY")),0)&gt;=DATE(2029,4,1),IFERROR(DATEVALUE(TEXT(Assumptions!B59,"MM/DD/YYYY")),0)&lt;=DATE(2029,4,30)),1,0)+IF(AND(Assumptions!B60&lt;&gt;"",IFERROR(DATEVALUE(TEXT(Assumptions!B60,"MM/DD/YYYY")),0)&gt;=DATE(2029,4,1),IFERROR(DATEVALUE(TEXT(Assumptions!B60,"MM/DD/YYYY")),0)&lt;=DATE(2029,4,30)),1,0))&gt;0,0,-('Working Capital'!AG8-'Working Capital'!AF8))</f>
        <v/>
      </c>
      <c r="AH11" s="156">
        <f>IF((IF(AND(Assumptions!B51&lt;&gt;"",IFERROR(DATEVALUE(TEXT(Assumptions!B51,"MM/DD/YYYY")),0)&gt;=DATE(2029,5,1),IFERROR(DATEVALUE(TEXT(Assumptions!B51,"MM/DD/YYYY")),0)&lt;=DATE(2029,5,31)),1,0)+IF(AND(Assumptions!B52&lt;&gt;"",IFERROR(DATEVALUE(TEXT(Assumptions!B52,"MM/DD/YYYY")),0)&gt;=DATE(2029,5,1),IFERROR(DATEVALUE(TEXT(Assumptions!B52,"MM/DD/YYYY")),0)&lt;=DATE(2029,5,31)),1,0)+IF(AND(Assumptions!B53&lt;&gt;"",IFERROR(DATEVALUE(TEXT(Assumptions!B53,"MM/DD/YYYY")),0)&gt;=DATE(2029,5,1),IFERROR(DATEVALUE(TEXT(Assumptions!B53,"MM/DD/YYYY")),0)&lt;=DATE(2029,5,31)),1,0)+IF(AND(Assumptions!B54&lt;&gt;"",IFERROR(DATEVALUE(TEXT(Assumptions!B54,"MM/DD/YYYY")),0)&gt;=DATE(2029,5,1),IFERROR(DATEVALUE(TEXT(Assumptions!B54,"MM/DD/YYYY")),0)&lt;=DATE(2029,5,31)),1,0)+IF(AND(Assumptions!B55&lt;&gt;"",IFERROR(DATEVALUE(TEXT(Assumptions!B55,"MM/DD/YYYY")),0)&gt;=DATE(2029,5,1),IFERROR(DATEVALUE(TEXT(Assumptions!B55,"MM/DD/YYYY")),0)&lt;=DATE(2029,5,31)),1,0)+IF(AND(Assumptions!B56&lt;&gt;"",IFERROR(DATEVALUE(TEXT(Assumptions!B56,"MM/DD/YYYY")),0)&gt;=DATE(2029,5,1),IFERROR(DATEVALUE(TEXT(Assumptions!B56,"MM/DD/YYYY")),0)&lt;=DATE(2029,5,31)),1,0)+IF(AND(Assumptions!B57&lt;&gt;"",IFERROR(DATEVALUE(TEXT(Assumptions!B57,"MM/DD/YYYY")),0)&gt;=DATE(2029,5,1),IFERROR(DATEVALUE(TEXT(Assumptions!B57,"MM/DD/YYYY")),0)&lt;=DATE(2029,5,31)),1,0)+IF(AND(Assumptions!B58&lt;&gt;"",IFERROR(DATEVALUE(TEXT(Assumptions!B58,"MM/DD/YYYY")),0)&gt;=DATE(2029,5,1),IFERROR(DATEVALUE(TEXT(Assumptions!B58,"MM/DD/YYYY")),0)&lt;=DATE(2029,5,31)),1,0)+IF(AND(Assumptions!B59&lt;&gt;"",IFERROR(DATEVALUE(TEXT(Assumptions!B59,"MM/DD/YYYY")),0)&gt;=DATE(2029,5,1),IFERROR(DATEVALUE(TEXT(Assumptions!B59,"MM/DD/YYYY")),0)&lt;=DATE(2029,5,31)),1,0)+IF(AND(Assumptions!B60&lt;&gt;"",IFERROR(DATEVALUE(TEXT(Assumptions!B60,"MM/DD/YYYY")),0)&gt;=DATE(2029,5,1),IFERROR(DATEVALUE(TEXT(Assumptions!B60,"MM/DD/YYYY")),0)&lt;=DATE(2029,5,31)),1,0))&gt;0,0,-('Working Capital'!AH8-'Working Capital'!AG8))</f>
        <v/>
      </c>
      <c r="AI11" s="156">
        <f>IF((IF(AND(Assumptions!B51&lt;&gt;"",IFERROR(DATEVALUE(TEXT(Assumptions!B51,"MM/DD/YYYY")),0)&gt;=DATE(2029,6,1),IFERROR(DATEVALUE(TEXT(Assumptions!B51,"MM/DD/YYYY")),0)&lt;=DATE(2029,6,30)),1,0)+IF(AND(Assumptions!B52&lt;&gt;"",IFERROR(DATEVALUE(TEXT(Assumptions!B52,"MM/DD/YYYY")),0)&gt;=DATE(2029,6,1),IFERROR(DATEVALUE(TEXT(Assumptions!B52,"MM/DD/YYYY")),0)&lt;=DATE(2029,6,30)),1,0)+IF(AND(Assumptions!B53&lt;&gt;"",IFERROR(DATEVALUE(TEXT(Assumptions!B53,"MM/DD/YYYY")),0)&gt;=DATE(2029,6,1),IFERROR(DATEVALUE(TEXT(Assumptions!B53,"MM/DD/YYYY")),0)&lt;=DATE(2029,6,30)),1,0)+IF(AND(Assumptions!B54&lt;&gt;"",IFERROR(DATEVALUE(TEXT(Assumptions!B54,"MM/DD/YYYY")),0)&gt;=DATE(2029,6,1),IFERROR(DATEVALUE(TEXT(Assumptions!B54,"MM/DD/YYYY")),0)&lt;=DATE(2029,6,30)),1,0)+IF(AND(Assumptions!B55&lt;&gt;"",IFERROR(DATEVALUE(TEXT(Assumptions!B55,"MM/DD/YYYY")),0)&gt;=DATE(2029,6,1),IFERROR(DATEVALUE(TEXT(Assumptions!B55,"MM/DD/YYYY")),0)&lt;=DATE(2029,6,30)),1,0)+IF(AND(Assumptions!B56&lt;&gt;"",IFERROR(DATEVALUE(TEXT(Assumptions!B56,"MM/DD/YYYY")),0)&gt;=DATE(2029,6,1),IFERROR(DATEVALUE(TEXT(Assumptions!B56,"MM/DD/YYYY")),0)&lt;=DATE(2029,6,30)),1,0)+IF(AND(Assumptions!B57&lt;&gt;"",IFERROR(DATEVALUE(TEXT(Assumptions!B57,"MM/DD/YYYY")),0)&gt;=DATE(2029,6,1),IFERROR(DATEVALUE(TEXT(Assumptions!B57,"MM/DD/YYYY")),0)&lt;=DATE(2029,6,30)),1,0)+IF(AND(Assumptions!B58&lt;&gt;"",IFERROR(DATEVALUE(TEXT(Assumptions!B58,"MM/DD/YYYY")),0)&gt;=DATE(2029,6,1),IFERROR(DATEVALUE(TEXT(Assumptions!B58,"MM/DD/YYYY")),0)&lt;=DATE(2029,6,30)),1,0)+IF(AND(Assumptions!B59&lt;&gt;"",IFERROR(DATEVALUE(TEXT(Assumptions!B59,"MM/DD/YYYY")),0)&gt;=DATE(2029,6,1),IFERROR(DATEVALUE(TEXT(Assumptions!B59,"MM/DD/YYYY")),0)&lt;=DATE(2029,6,30)),1,0)+IF(AND(Assumptions!B60&lt;&gt;"",IFERROR(DATEVALUE(TEXT(Assumptions!B60,"MM/DD/YYYY")),0)&gt;=DATE(2029,6,1),IFERROR(DATEVALUE(TEXT(Assumptions!B60,"MM/DD/YYYY")),0)&lt;=DATE(2029,6,30)),1,0))&gt;0,0,-('Working Capital'!AI8-'Working Capital'!AH8))</f>
        <v/>
      </c>
      <c r="AJ11" s="156">
        <f>IF((IF(AND(Assumptions!B51&lt;&gt;"",IFERROR(DATEVALUE(TEXT(Assumptions!B51,"MM/DD/YYYY")),0)&gt;=DATE(2029,7,1),IFERROR(DATEVALUE(TEXT(Assumptions!B51,"MM/DD/YYYY")),0)&lt;=DATE(2029,7,31)),1,0)+IF(AND(Assumptions!B52&lt;&gt;"",IFERROR(DATEVALUE(TEXT(Assumptions!B52,"MM/DD/YYYY")),0)&gt;=DATE(2029,7,1),IFERROR(DATEVALUE(TEXT(Assumptions!B52,"MM/DD/YYYY")),0)&lt;=DATE(2029,7,31)),1,0)+IF(AND(Assumptions!B53&lt;&gt;"",IFERROR(DATEVALUE(TEXT(Assumptions!B53,"MM/DD/YYYY")),0)&gt;=DATE(2029,7,1),IFERROR(DATEVALUE(TEXT(Assumptions!B53,"MM/DD/YYYY")),0)&lt;=DATE(2029,7,31)),1,0)+IF(AND(Assumptions!B54&lt;&gt;"",IFERROR(DATEVALUE(TEXT(Assumptions!B54,"MM/DD/YYYY")),0)&gt;=DATE(2029,7,1),IFERROR(DATEVALUE(TEXT(Assumptions!B54,"MM/DD/YYYY")),0)&lt;=DATE(2029,7,31)),1,0)+IF(AND(Assumptions!B55&lt;&gt;"",IFERROR(DATEVALUE(TEXT(Assumptions!B55,"MM/DD/YYYY")),0)&gt;=DATE(2029,7,1),IFERROR(DATEVALUE(TEXT(Assumptions!B55,"MM/DD/YYYY")),0)&lt;=DATE(2029,7,31)),1,0)+IF(AND(Assumptions!B56&lt;&gt;"",IFERROR(DATEVALUE(TEXT(Assumptions!B56,"MM/DD/YYYY")),0)&gt;=DATE(2029,7,1),IFERROR(DATEVALUE(TEXT(Assumptions!B56,"MM/DD/YYYY")),0)&lt;=DATE(2029,7,31)),1,0)+IF(AND(Assumptions!B57&lt;&gt;"",IFERROR(DATEVALUE(TEXT(Assumptions!B57,"MM/DD/YYYY")),0)&gt;=DATE(2029,7,1),IFERROR(DATEVALUE(TEXT(Assumptions!B57,"MM/DD/YYYY")),0)&lt;=DATE(2029,7,31)),1,0)+IF(AND(Assumptions!B58&lt;&gt;"",IFERROR(DATEVALUE(TEXT(Assumptions!B58,"MM/DD/YYYY")),0)&gt;=DATE(2029,7,1),IFERROR(DATEVALUE(TEXT(Assumptions!B58,"MM/DD/YYYY")),0)&lt;=DATE(2029,7,31)),1,0)+IF(AND(Assumptions!B59&lt;&gt;"",IFERROR(DATEVALUE(TEXT(Assumptions!B59,"MM/DD/YYYY")),0)&gt;=DATE(2029,7,1),IFERROR(DATEVALUE(TEXT(Assumptions!B59,"MM/DD/YYYY")),0)&lt;=DATE(2029,7,31)),1,0)+IF(AND(Assumptions!B60&lt;&gt;"",IFERROR(DATEVALUE(TEXT(Assumptions!B60,"MM/DD/YYYY")),0)&gt;=DATE(2029,7,1),IFERROR(DATEVALUE(TEXT(Assumptions!B60,"MM/DD/YYYY")),0)&lt;=DATE(2029,7,31)),1,0))&gt;0,0,-('Working Capital'!AJ8-'Working Capital'!AI8))</f>
        <v/>
      </c>
      <c r="AK11" s="156">
        <f>IF((IF(AND(Assumptions!B51&lt;&gt;"",IFERROR(DATEVALUE(TEXT(Assumptions!B51,"MM/DD/YYYY")),0)&gt;=DATE(2029,8,1),IFERROR(DATEVALUE(TEXT(Assumptions!B51,"MM/DD/YYYY")),0)&lt;=DATE(2029,8,31)),1,0)+IF(AND(Assumptions!B52&lt;&gt;"",IFERROR(DATEVALUE(TEXT(Assumptions!B52,"MM/DD/YYYY")),0)&gt;=DATE(2029,8,1),IFERROR(DATEVALUE(TEXT(Assumptions!B52,"MM/DD/YYYY")),0)&lt;=DATE(2029,8,31)),1,0)+IF(AND(Assumptions!B53&lt;&gt;"",IFERROR(DATEVALUE(TEXT(Assumptions!B53,"MM/DD/YYYY")),0)&gt;=DATE(2029,8,1),IFERROR(DATEVALUE(TEXT(Assumptions!B53,"MM/DD/YYYY")),0)&lt;=DATE(2029,8,31)),1,0)+IF(AND(Assumptions!B54&lt;&gt;"",IFERROR(DATEVALUE(TEXT(Assumptions!B54,"MM/DD/YYYY")),0)&gt;=DATE(2029,8,1),IFERROR(DATEVALUE(TEXT(Assumptions!B54,"MM/DD/YYYY")),0)&lt;=DATE(2029,8,31)),1,0)+IF(AND(Assumptions!B55&lt;&gt;"",IFERROR(DATEVALUE(TEXT(Assumptions!B55,"MM/DD/YYYY")),0)&gt;=DATE(2029,8,1),IFERROR(DATEVALUE(TEXT(Assumptions!B55,"MM/DD/YYYY")),0)&lt;=DATE(2029,8,31)),1,0)+IF(AND(Assumptions!B56&lt;&gt;"",IFERROR(DATEVALUE(TEXT(Assumptions!B56,"MM/DD/YYYY")),0)&gt;=DATE(2029,8,1),IFERROR(DATEVALUE(TEXT(Assumptions!B56,"MM/DD/YYYY")),0)&lt;=DATE(2029,8,31)),1,0)+IF(AND(Assumptions!B57&lt;&gt;"",IFERROR(DATEVALUE(TEXT(Assumptions!B57,"MM/DD/YYYY")),0)&gt;=DATE(2029,8,1),IFERROR(DATEVALUE(TEXT(Assumptions!B57,"MM/DD/YYYY")),0)&lt;=DATE(2029,8,31)),1,0)+IF(AND(Assumptions!B58&lt;&gt;"",IFERROR(DATEVALUE(TEXT(Assumptions!B58,"MM/DD/YYYY")),0)&gt;=DATE(2029,8,1),IFERROR(DATEVALUE(TEXT(Assumptions!B58,"MM/DD/YYYY")),0)&lt;=DATE(2029,8,31)),1,0)+IF(AND(Assumptions!B59&lt;&gt;"",IFERROR(DATEVALUE(TEXT(Assumptions!B59,"MM/DD/YYYY")),0)&gt;=DATE(2029,8,1),IFERROR(DATEVALUE(TEXT(Assumptions!B59,"MM/DD/YYYY")),0)&lt;=DATE(2029,8,31)),1,0)+IF(AND(Assumptions!B60&lt;&gt;"",IFERROR(DATEVALUE(TEXT(Assumptions!B60,"MM/DD/YYYY")),0)&gt;=DATE(2029,8,1),IFERROR(DATEVALUE(TEXT(Assumptions!B60,"MM/DD/YYYY")),0)&lt;=DATE(2029,8,31)),1,0))&gt;0,0,-('Working Capital'!AK8-'Working Capital'!AJ8))</f>
        <v/>
      </c>
      <c r="AL11" s="156">
        <f>IF((IF(AND(Assumptions!B51&lt;&gt;"",IFERROR(DATEVALUE(TEXT(Assumptions!B51,"MM/DD/YYYY")),0)&gt;=DATE(2029,9,1),IFERROR(DATEVALUE(TEXT(Assumptions!B51,"MM/DD/YYYY")),0)&lt;=DATE(2029,9,30)),1,0)+IF(AND(Assumptions!B52&lt;&gt;"",IFERROR(DATEVALUE(TEXT(Assumptions!B52,"MM/DD/YYYY")),0)&gt;=DATE(2029,9,1),IFERROR(DATEVALUE(TEXT(Assumptions!B52,"MM/DD/YYYY")),0)&lt;=DATE(2029,9,30)),1,0)+IF(AND(Assumptions!B53&lt;&gt;"",IFERROR(DATEVALUE(TEXT(Assumptions!B53,"MM/DD/YYYY")),0)&gt;=DATE(2029,9,1),IFERROR(DATEVALUE(TEXT(Assumptions!B53,"MM/DD/YYYY")),0)&lt;=DATE(2029,9,30)),1,0)+IF(AND(Assumptions!B54&lt;&gt;"",IFERROR(DATEVALUE(TEXT(Assumptions!B54,"MM/DD/YYYY")),0)&gt;=DATE(2029,9,1),IFERROR(DATEVALUE(TEXT(Assumptions!B54,"MM/DD/YYYY")),0)&lt;=DATE(2029,9,30)),1,0)+IF(AND(Assumptions!B55&lt;&gt;"",IFERROR(DATEVALUE(TEXT(Assumptions!B55,"MM/DD/YYYY")),0)&gt;=DATE(2029,9,1),IFERROR(DATEVALUE(TEXT(Assumptions!B55,"MM/DD/YYYY")),0)&lt;=DATE(2029,9,30)),1,0)+IF(AND(Assumptions!B56&lt;&gt;"",IFERROR(DATEVALUE(TEXT(Assumptions!B56,"MM/DD/YYYY")),0)&gt;=DATE(2029,9,1),IFERROR(DATEVALUE(TEXT(Assumptions!B56,"MM/DD/YYYY")),0)&lt;=DATE(2029,9,30)),1,0)+IF(AND(Assumptions!B57&lt;&gt;"",IFERROR(DATEVALUE(TEXT(Assumptions!B57,"MM/DD/YYYY")),0)&gt;=DATE(2029,9,1),IFERROR(DATEVALUE(TEXT(Assumptions!B57,"MM/DD/YYYY")),0)&lt;=DATE(2029,9,30)),1,0)+IF(AND(Assumptions!B58&lt;&gt;"",IFERROR(DATEVALUE(TEXT(Assumptions!B58,"MM/DD/YYYY")),0)&gt;=DATE(2029,9,1),IFERROR(DATEVALUE(TEXT(Assumptions!B58,"MM/DD/YYYY")),0)&lt;=DATE(2029,9,30)),1,0)+IF(AND(Assumptions!B59&lt;&gt;"",IFERROR(DATEVALUE(TEXT(Assumptions!B59,"MM/DD/YYYY")),0)&gt;=DATE(2029,9,1),IFERROR(DATEVALUE(TEXT(Assumptions!B59,"MM/DD/YYYY")),0)&lt;=DATE(2029,9,30)),1,0)+IF(AND(Assumptions!B60&lt;&gt;"",IFERROR(DATEVALUE(TEXT(Assumptions!B60,"MM/DD/YYYY")),0)&gt;=DATE(2029,9,1),IFERROR(DATEVALUE(TEXT(Assumptions!B60,"MM/DD/YYYY")),0)&lt;=DATE(2029,9,30)),1,0))&gt;0,0,-('Working Capital'!AL8-'Working Capital'!AK8))</f>
        <v/>
      </c>
      <c r="AM11" s="156">
        <f>IF((IF(AND(Assumptions!B51&lt;&gt;"",IFERROR(DATEVALUE(TEXT(Assumptions!B51,"MM/DD/YYYY")),0)&gt;=DATE(2029,10,1),IFERROR(DATEVALUE(TEXT(Assumptions!B51,"MM/DD/YYYY")),0)&lt;=DATE(2029,10,31)),1,0)+IF(AND(Assumptions!B52&lt;&gt;"",IFERROR(DATEVALUE(TEXT(Assumptions!B52,"MM/DD/YYYY")),0)&gt;=DATE(2029,10,1),IFERROR(DATEVALUE(TEXT(Assumptions!B52,"MM/DD/YYYY")),0)&lt;=DATE(2029,10,31)),1,0)+IF(AND(Assumptions!B53&lt;&gt;"",IFERROR(DATEVALUE(TEXT(Assumptions!B53,"MM/DD/YYYY")),0)&gt;=DATE(2029,10,1),IFERROR(DATEVALUE(TEXT(Assumptions!B53,"MM/DD/YYYY")),0)&lt;=DATE(2029,10,31)),1,0)+IF(AND(Assumptions!B54&lt;&gt;"",IFERROR(DATEVALUE(TEXT(Assumptions!B54,"MM/DD/YYYY")),0)&gt;=DATE(2029,10,1),IFERROR(DATEVALUE(TEXT(Assumptions!B54,"MM/DD/YYYY")),0)&lt;=DATE(2029,10,31)),1,0)+IF(AND(Assumptions!B55&lt;&gt;"",IFERROR(DATEVALUE(TEXT(Assumptions!B55,"MM/DD/YYYY")),0)&gt;=DATE(2029,10,1),IFERROR(DATEVALUE(TEXT(Assumptions!B55,"MM/DD/YYYY")),0)&lt;=DATE(2029,10,31)),1,0)+IF(AND(Assumptions!B56&lt;&gt;"",IFERROR(DATEVALUE(TEXT(Assumptions!B56,"MM/DD/YYYY")),0)&gt;=DATE(2029,10,1),IFERROR(DATEVALUE(TEXT(Assumptions!B56,"MM/DD/YYYY")),0)&lt;=DATE(2029,10,31)),1,0)+IF(AND(Assumptions!B57&lt;&gt;"",IFERROR(DATEVALUE(TEXT(Assumptions!B57,"MM/DD/YYYY")),0)&gt;=DATE(2029,10,1),IFERROR(DATEVALUE(TEXT(Assumptions!B57,"MM/DD/YYYY")),0)&lt;=DATE(2029,10,31)),1,0)+IF(AND(Assumptions!B58&lt;&gt;"",IFERROR(DATEVALUE(TEXT(Assumptions!B58,"MM/DD/YYYY")),0)&gt;=DATE(2029,10,1),IFERROR(DATEVALUE(TEXT(Assumptions!B58,"MM/DD/YYYY")),0)&lt;=DATE(2029,10,31)),1,0)+IF(AND(Assumptions!B59&lt;&gt;"",IFERROR(DATEVALUE(TEXT(Assumptions!B59,"MM/DD/YYYY")),0)&gt;=DATE(2029,10,1),IFERROR(DATEVALUE(TEXT(Assumptions!B59,"MM/DD/YYYY")),0)&lt;=DATE(2029,10,31)),1,0)+IF(AND(Assumptions!B60&lt;&gt;"",IFERROR(DATEVALUE(TEXT(Assumptions!B60,"MM/DD/YYYY")),0)&gt;=DATE(2029,10,1),IFERROR(DATEVALUE(TEXT(Assumptions!B60,"MM/DD/YYYY")),0)&lt;=DATE(2029,10,31)),1,0))&gt;0,0,-('Working Capital'!AM8-'Working Capital'!AL8))</f>
        <v/>
      </c>
      <c r="AN11" s="156">
        <f>IF((IF(AND(Assumptions!B51&lt;&gt;"",IFERROR(DATEVALUE(TEXT(Assumptions!B51,"MM/DD/YYYY")),0)&gt;=DATE(2029,11,1),IFERROR(DATEVALUE(TEXT(Assumptions!B51,"MM/DD/YYYY")),0)&lt;=DATE(2029,11,30)),1,0)+IF(AND(Assumptions!B52&lt;&gt;"",IFERROR(DATEVALUE(TEXT(Assumptions!B52,"MM/DD/YYYY")),0)&gt;=DATE(2029,11,1),IFERROR(DATEVALUE(TEXT(Assumptions!B52,"MM/DD/YYYY")),0)&lt;=DATE(2029,11,30)),1,0)+IF(AND(Assumptions!B53&lt;&gt;"",IFERROR(DATEVALUE(TEXT(Assumptions!B53,"MM/DD/YYYY")),0)&gt;=DATE(2029,11,1),IFERROR(DATEVALUE(TEXT(Assumptions!B53,"MM/DD/YYYY")),0)&lt;=DATE(2029,11,30)),1,0)+IF(AND(Assumptions!B54&lt;&gt;"",IFERROR(DATEVALUE(TEXT(Assumptions!B54,"MM/DD/YYYY")),0)&gt;=DATE(2029,11,1),IFERROR(DATEVALUE(TEXT(Assumptions!B54,"MM/DD/YYYY")),0)&lt;=DATE(2029,11,30)),1,0)+IF(AND(Assumptions!B55&lt;&gt;"",IFERROR(DATEVALUE(TEXT(Assumptions!B55,"MM/DD/YYYY")),0)&gt;=DATE(2029,11,1),IFERROR(DATEVALUE(TEXT(Assumptions!B55,"MM/DD/YYYY")),0)&lt;=DATE(2029,11,30)),1,0)+IF(AND(Assumptions!B56&lt;&gt;"",IFERROR(DATEVALUE(TEXT(Assumptions!B56,"MM/DD/YYYY")),0)&gt;=DATE(2029,11,1),IFERROR(DATEVALUE(TEXT(Assumptions!B56,"MM/DD/YYYY")),0)&lt;=DATE(2029,11,30)),1,0)+IF(AND(Assumptions!B57&lt;&gt;"",IFERROR(DATEVALUE(TEXT(Assumptions!B57,"MM/DD/YYYY")),0)&gt;=DATE(2029,11,1),IFERROR(DATEVALUE(TEXT(Assumptions!B57,"MM/DD/YYYY")),0)&lt;=DATE(2029,11,30)),1,0)+IF(AND(Assumptions!B58&lt;&gt;"",IFERROR(DATEVALUE(TEXT(Assumptions!B58,"MM/DD/YYYY")),0)&gt;=DATE(2029,11,1),IFERROR(DATEVALUE(TEXT(Assumptions!B58,"MM/DD/YYYY")),0)&lt;=DATE(2029,11,30)),1,0)+IF(AND(Assumptions!B59&lt;&gt;"",IFERROR(DATEVALUE(TEXT(Assumptions!B59,"MM/DD/YYYY")),0)&gt;=DATE(2029,11,1),IFERROR(DATEVALUE(TEXT(Assumptions!B59,"MM/DD/YYYY")),0)&lt;=DATE(2029,11,30)),1,0)+IF(AND(Assumptions!B60&lt;&gt;"",IFERROR(DATEVALUE(TEXT(Assumptions!B60,"MM/DD/YYYY")),0)&gt;=DATE(2029,11,1),IFERROR(DATEVALUE(TEXT(Assumptions!B60,"MM/DD/YYYY")),0)&lt;=DATE(2029,11,30)),1,0))&gt;0,0,-('Working Capital'!AN8-'Working Capital'!AM8))</f>
        <v/>
      </c>
      <c r="AO11" s="156">
        <f>IF((IF(AND(Assumptions!B51&lt;&gt;"",IFERROR(DATEVALUE(TEXT(Assumptions!B51,"MM/DD/YYYY")),0)&gt;=DATE(2029,12,1),IFERROR(DATEVALUE(TEXT(Assumptions!B51,"MM/DD/YYYY")),0)&lt;=DATE(2029,12,31)),1,0)+IF(AND(Assumptions!B52&lt;&gt;"",IFERROR(DATEVALUE(TEXT(Assumptions!B52,"MM/DD/YYYY")),0)&gt;=DATE(2029,12,1),IFERROR(DATEVALUE(TEXT(Assumptions!B52,"MM/DD/YYYY")),0)&lt;=DATE(2029,12,31)),1,0)+IF(AND(Assumptions!B53&lt;&gt;"",IFERROR(DATEVALUE(TEXT(Assumptions!B53,"MM/DD/YYYY")),0)&gt;=DATE(2029,12,1),IFERROR(DATEVALUE(TEXT(Assumptions!B53,"MM/DD/YYYY")),0)&lt;=DATE(2029,12,31)),1,0)+IF(AND(Assumptions!B54&lt;&gt;"",IFERROR(DATEVALUE(TEXT(Assumptions!B54,"MM/DD/YYYY")),0)&gt;=DATE(2029,12,1),IFERROR(DATEVALUE(TEXT(Assumptions!B54,"MM/DD/YYYY")),0)&lt;=DATE(2029,12,31)),1,0)+IF(AND(Assumptions!B55&lt;&gt;"",IFERROR(DATEVALUE(TEXT(Assumptions!B55,"MM/DD/YYYY")),0)&gt;=DATE(2029,12,1),IFERROR(DATEVALUE(TEXT(Assumptions!B55,"MM/DD/YYYY")),0)&lt;=DATE(2029,12,31)),1,0)+IF(AND(Assumptions!B56&lt;&gt;"",IFERROR(DATEVALUE(TEXT(Assumptions!B56,"MM/DD/YYYY")),0)&gt;=DATE(2029,12,1),IFERROR(DATEVALUE(TEXT(Assumptions!B56,"MM/DD/YYYY")),0)&lt;=DATE(2029,12,31)),1,0)+IF(AND(Assumptions!B57&lt;&gt;"",IFERROR(DATEVALUE(TEXT(Assumptions!B57,"MM/DD/YYYY")),0)&gt;=DATE(2029,12,1),IFERROR(DATEVALUE(TEXT(Assumptions!B57,"MM/DD/YYYY")),0)&lt;=DATE(2029,12,31)),1,0)+IF(AND(Assumptions!B58&lt;&gt;"",IFERROR(DATEVALUE(TEXT(Assumptions!B58,"MM/DD/YYYY")),0)&gt;=DATE(2029,12,1),IFERROR(DATEVALUE(TEXT(Assumptions!B58,"MM/DD/YYYY")),0)&lt;=DATE(2029,12,31)),1,0)+IF(AND(Assumptions!B59&lt;&gt;"",IFERROR(DATEVALUE(TEXT(Assumptions!B59,"MM/DD/YYYY")),0)&gt;=DATE(2029,12,1),IFERROR(DATEVALUE(TEXT(Assumptions!B59,"MM/DD/YYYY")),0)&lt;=DATE(2029,12,31)),1,0)+IF(AND(Assumptions!B60&lt;&gt;"",IFERROR(DATEVALUE(TEXT(Assumptions!B60,"MM/DD/YYYY")),0)&gt;=DATE(2029,12,1),IFERROR(DATEVALUE(TEXT(Assumptions!B60,"MM/DD/YYYY")),0)&lt;=DATE(2029,12,31)),1,0))&gt;0,0,-('Working Capital'!AO8-'Working Capital'!AN8))</f>
        <v/>
      </c>
      <c r="AP11" s="156">
        <f>IF((IF(AND(Assumptions!B51&lt;&gt;"",IFERROR(DATEVALUE(TEXT(Assumptions!B51,"MM/DD/YYYY")),0)&gt;=DATE(2030,1,1),IFERROR(DATEVALUE(TEXT(Assumptions!B51,"MM/DD/YYYY")),0)&lt;=DATE(2030,1,31)),1,0)+IF(AND(Assumptions!B52&lt;&gt;"",IFERROR(DATEVALUE(TEXT(Assumptions!B52,"MM/DD/YYYY")),0)&gt;=DATE(2030,1,1),IFERROR(DATEVALUE(TEXT(Assumptions!B52,"MM/DD/YYYY")),0)&lt;=DATE(2030,1,31)),1,0)+IF(AND(Assumptions!B53&lt;&gt;"",IFERROR(DATEVALUE(TEXT(Assumptions!B53,"MM/DD/YYYY")),0)&gt;=DATE(2030,1,1),IFERROR(DATEVALUE(TEXT(Assumptions!B53,"MM/DD/YYYY")),0)&lt;=DATE(2030,1,31)),1,0)+IF(AND(Assumptions!B54&lt;&gt;"",IFERROR(DATEVALUE(TEXT(Assumptions!B54,"MM/DD/YYYY")),0)&gt;=DATE(2030,1,1),IFERROR(DATEVALUE(TEXT(Assumptions!B54,"MM/DD/YYYY")),0)&lt;=DATE(2030,1,31)),1,0)+IF(AND(Assumptions!B55&lt;&gt;"",IFERROR(DATEVALUE(TEXT(Assumptions!B55,"MM/DD/YYYY")),0)&gt;=DATE(2030,1,1),IFERROR(DATEVALUE(TEXT(Assumptions!B55,"MM/DD/YYYY")),0)&lt;=DATE(2030,1,31)),1,0)+IF(AND(Assumptions!B56&lt;&gt;"",IFERROR(DATEVALUE(TEXT(Assumptions!B56,"MM/DD/YYYY")),0)&gt;=DATE(2030,1,1),IFERROR(DATEVALUE(TEXT(Assumptions!B56,"MM/DD/YYYY")),0)&lt;=DATE(2030,1,31)),1,0)+IF(AND(Assumptions!B57&lt;&gt;"",IFERROR(DATEVALUE(TEXT(Assumptions!B57,"MM/DD/YYYY")),0)&gt;=DATE(2030,1,1),IFERROR(DATEVALUE(TEXT(Assumptions!B57,"MM/DD/YYYY")),0)&lt;=DATE(2030,1,31)),1,0)+IF(AND(Assumptions!B58&lt;&gt;"",IFERROR(DATEVALUE(TEXT(Assumptions!B58,"MM/DD/YYYY")),0)&gt;=DATE(2030,1,1),IFERROR(DATEVALUE(TEXT(Assumptions!B58,"MM/DD/YYYY")),0)&lt;=DATE(2030,1,31)),1,0)+IF(AND(Assumptions!B59&lt;&gt;"",IFERROR(DATEVALUE(TEXT(Assumptions!B59,"MM/DD/YYYY")),0)&gt;=DATE(2030,1,1),IFERROR(DATEVALUE(TEXT(Assumptions!B59,"MM/DD/YYYY")),0)&lt;=DATE(2030,1,31)),1,0)+IF(AND(Assumptions!B60&lt;&gt;"",IFERROR(DATEVALUE(TEXT(Assumptions!B60,"MM/DD/YYYY")),0)&gt;=DATE(2030,1,1),IFERROR(DATEVALUE(TEXT(Assumptions!B60,"MM/DD/YYYY")),0)&lt;=DATE(2030,1,31)),1,0))&gt;0,0,-('Working Capital'!AP8-'Working Capital'!AO8))</f>
        <v/>
      </c>
      <c r="AQ11" s="156">
        <f>IF((IF(AND(Assumptions!B51&lt;&gt;"",IFERROR(DATEVALUE(TEXT(Assumptions!B51,"MM/DD/YYYY")),0)&gt;=DATE(2030,2,1),IFERROR(DATEVALUE(TEXT(Assumptions!B51,"MM/DD/YYYY")),0)&lt;=DATE(2030,2,28)),1,0)+IF(AND(Assumptions!B52&lt;&gt;"",IFERROR(DATEVALUE(TEXT(Assumptions!B52,"MM/DD/YYYY")),0)&gt;=DATE(2030,2,1),IFERROR(DATEVALUE(TEXT(Assumptions!B52,"MM/DD/YYYY")),0)&lt;=DATE(2030,2,28)),1,0)+IF(AND(Assumptions!B53&lt;&gt;"",IFERROR(DATEVALUE(TEXT(Assumptions!B53,"MM/DD/YYYY")),0)&gt;=DATE(2030,2,1),IFERROR(DATEVALUE(TEXT(Assumptions!B53,"MM/DD/YYYY")),0)&lt;=DATE(2030,2,28)),1,0)+IF(AND(Assumptions!B54&lt;&gt;"",IFERROR(DATEVALUE(TEXT(Assumptions!B54,"MM/DD/YYYY")),0)&gt;=DATE(2030,2,1),IFERROR(DATEVALUE(TEXT(Assumptions!B54,"MM/DD/YYYY")),0)&lt;=DATE(2030,2,28)),1,0)+IF(AND(Assumptions!B55&lt;&gt;"",IFERROR(DATEVALUE(TEXT(Assumptions!B55,"MM/DD/YYYY")),0)&gt;=DATE(2030,2,1),IFERROR(DATEVALUE(TEXT(Assumptions!B55,"MM/DD/YYYY")),0)&lt;=DATE(2030,2,28)),1,0)+IF(AND(Assumptions!B56&lt;&gt;"",IFERROR(DATEVALUE(TEXT(Assumptions!B56,"MM/DD/YYYY")),0)&gt;=DATE(2030,2,1),IFERROR(DATEVALUE(TEXT(Assumptions!B56,"MM/DD/YYYY")),0)&lt;=DATE(2030,2,28)),1,0)+IF(AND(Assumptions!B57&lt;&gt;"",IFERROR(DATEVALUE(TEXT(Assumptions!B57,"MM/DD/YYYY")),0)&gt;=DATE(2030,2,1),IFERROR(DATEVALUE(TEXT(Assumptions!B57,"MM/DD/YYYY")),0)&lt;=DATE(2030,2,28)),1,0)+IF(AND(Assumptions!B58&lt;&gt;"",IFERROR(DATEVALUE(TEXT(Assumptions!B58,"MM/DD/YYYY")),0)&gt;=DATE(2030,2,1),IFERROR(DATEVALUE(TEXT(Assumptions!B58,"MM/DD/YYYY")),0)&lt;=DATE(2030,2,28)),1,0)+IF(AND(Assumptions!B59&lt;&gt;"",IFERROR(DATEVALUE(TEXT(Assumptions!B59,"MM/DD/YYYY")),0)&gt;=DATE(2030,2,1),IFERROR(DATEVALUE(TEXT(Assumptions!B59,"MM/DD/YYYY")),0)&lt;=DATE(2030,2,28)),1,0)+IF(AND(Assumptions!B60&lt;&gt;"",IFERROR(DATEVALUE(TEXT(Assumptions!B60,"MM/DD/YYYY")),0)&gt;=DATE(2030,2,1),IFERROR(DATEVALUE(TEXT(Assumptions!B60,"MM/DD/YYYY")),0)&lt;=DATE(2030,2,28)),1,0))&gt;0,0,-('Working Capital'!AQ8-'Working Capital'!AP8))</f>
        <v/>
      </c>
      <c r="AR11" s="156">
        <f>IF((IF(AND(Assumptions!B51&lt;&gt;"",IFERROR(DATEVALUE(TEXT(Assumptions!B51,"MM/DD/YYYY")),0)&gt;=DATE(2030,3,1),IFERROR(DATEVALUE(TEXT(Assumptions!B51,"MM/DD/YYYY")),0)&lt;=DATE(2030,3,31)),1,0)+IF(AND(Assumptions!B52&lt;&gt;"",IFERROR(DATEVALUE(TEXT(Assumptions!B52,"MM/DD/YYYY")),0)&gt;=DATE(2030,3,1),IFERROR(DATEVALUE(TEXT(Assumptions!B52,"MM/DD/YYYY")),0)&lt;=DATE(2030,3,31)),1,0)+IF(AND(Assumptions!B53&lt;&gt;"",IFERROR(DATEVALUE(TEXT(Assumptions!B53,"MM/DD/YYYY")),0)&gt;=DATE(2030,3,1),IFERROR(DATEVALUE(TEXT(Assumptions!B53,"MM/DD/YYYY")),0)&lt;=DATE(2030,3,31)),1,0)+IF(AND(Assumptions!B54&lt;&gt;"",IFERROR(DATEVALUE(TEXT(Assumptions!B54,"MM/DD/YYYY")),0)&gt;=DATE(2030,3,1),IFERROR(DATEVALUE(TEXT(Assumptions!B54,"MM/DD/YYYY")),0)&lt;=DATE(2030,3,31)),1,0)+IF(AND(Assumptions!B55&lt;&gt;"",IFERROR(DATEVALUE(TEXT(Assumptions!B55,"MM/DD/YYYY")),0)&gt;=DATE(2030,3,1),IFERROR(DATEVALUE(TEXT(Assumptions!B55,"MM/DD/YYYY")),0)&lt;=DATE(2030,3,31)),1,0)+IF(AND(Assumptions!B56&lt;&gt;"",IFERROR(DATEVALUE(TEXT(Assumptions!B56,"MM/DD/YYYY")),0)&gt;=DATE(2030,3,1),IFERROR(DATEVALUE(TEXT(Assumptions!B56,"MM/DD/YYYY")),0)&lt;=DATE(2030,3,31)),1,0)+IF(AND(Assumptions!B57&lt;&gt;"",IFERROR(DATEVALUE(TEXT(Assumptions!B57,"MM/DD/YYYY")),0)&gt;=DATE(2030,3,1),IFERROR(DATEVALUE(TEXT(Assumptions!B57,"MM/DD/YYYY")),0)&lt;=DATE(2030,3,31)),1,0)+IF(AND(Assumptions!B58&lt;&gt;"",IFERROR(DATEVALUE(TEXT(Assumptions!B58,"MM/DD/YYYY")),0)&gt;=DATE(2030,3,1),IFERROR(DATEVALUE(TEXT(Assumptions!B58,"MM/DD/YYYY")),0)&lt;=DATE(2030,3,31)),1,0)+IF(AND(Assumptions!B59&lt;&gt;"",IFERROR(DATEVALUE(TEXT(Assumptions!B59,"MM/DD/YYYY")),0)&gt;=DATE(2030,3,1),IFERROR(DATEVALUE(TEXT(Assumptions!B59,"MM/DD/YYYY")),0)&lt;=DATE(2030,3,31)),1,0)+IF(AND(Assumptions!B60&lt;&gt;"",IFERROR(DATEVALUE(TEXT(Assumptions!B60,"MM/DD/YYYY")),0)&gt;=DATE(2030,3,1),IFERROR(DATEVALUE(TEXT(Assumptions!B60,"MM/DD/YYYY")),0)&lt;=DATE(2030,3,31)),1,0))&gt;0,0,-('Working Capital'!AR8-'Working Capital'!AQ8))</f>
        <v/>
      </c>
      <c r="AS11" s="156">
        <f>IF((IF(AND(Assumptions!B51&lt;&gt;"",IFERROR(DATEVALUE(TEXT(Assumptions!B51,"MM/DD/YYYY")),0)&gt;=DATE(2030,4,1),IFERROR(DATEVALUE(TEXT(Assumptions!B51,"MM/DD/YYYY")),0)&lt;=DATE(2030,4,30)),1,0)+IF(AND(Assumptions!B52&lt;&gt;"",IFERROR(DATEVALUE(TEXT(Assumptions!B52,"MM/DD/YYYY")),0)&gt;=DATE(2030,4,1),IFERROR(DATEVALUE(TEXT(Assumptions!B52,"MM/DD/YYYY")),0)&lt;=DATE(2030,4,30)),1,0)+IF(AND(Assumptions!B53&lt;&gt;"",IFERROR(DATEVALUE(TEXT(Assumptions!B53,"MM/DD/YYYY")),0)&gt;=DATE(2030,4,1),IFERROR(DATEVALUE(TEXT(Assumptions!B53,"MM/DD/YYYY")),0)&lt;=DATE(2030,4,30)),1,0)+IF(AND(Assumptions!B54&lt;&gt;"",IFERROR(DATEVALUE(TEXT(Assumptions!B54,"MM/DD/YYYY")),0)&gt;=DATE(2030,4,1),IFERROR(DATEVALUE(TEXT(Assumptions!B54,"MM/DD/YYYY")),0)&lt;=DATE(2030,4,30)),1,0)+IF(AND(Assumptions!B55&lt;&gt;"",IFERROR(DATEVALUE(TEXT(Assumptions!B55,"MM/DD/YYYY")),0)&gt;=DATE(2030,4,1),IFERROR(DATEVALUE(TEXT(Assumptions!B55,"MM/DD/YYYY")),0)&lt;=DATE(2030,4,30)),1,0)+IF(AND(Assumptions!B56&lt;&gt;"",IFERROR(DATEVALUE(TEXT(Assumptions!B56,"MM/DD/YYYY")),0)&gt;=DATE(2030,4,1),IFERROR(DATEVALUE(TEXT(Assumptions!B56,"MM/DD/YYYY")),0)&lt;=DATE(2030,4,30)),1,0)+IF(AND(Assumptions!B57&lt;&gt;"",IFERROR(DATEVALUE(TEXT(Assumptions!B57,"MM/DD/YYYY")),0)&gt;=DATE(2030,4,1),IFERROR(DATEVALUE(TEXT(Assumptions!B57,"MM/DD/YYYY")),0)&lt;=DATE(2030,4,30)),1,0)+IF(AND(Assumptions!B58&lt;&gt;"",IFERROR(DATEVALUE(TEXT(Assumptions!B58,"MM/DD/YYYY")),0)&gt;=DATE(2030,4,1),IFERROR(DATEVALUE(TEXT(Assumptions!B58,"MM/DD/YYYY")),0)&lt;=DATE(2030,4,30)),1,0)+IF(AND(Assumptions!B59&lt;&gt;"",IFERROR(DATEVALUE(TEXT(Assumptions!B59,"MM/DD/YYYY")),0)&gt;=DATE(2030,4,1),IFERROR(DATEVALUE(TEXT(Assumptions!B59,"MM/DD/YYYY")),0)&lt;=DATE(2030,4,30)),1,0)+IF(AND(Assumptions!B60&lt;&gt;"",IFERROR(DATEVALUE(TEXT(Assumptions!B60,"MM/DD/YYYY")),0)&gt;=DATE(2030,4,1),IFERROR(DATEVALUE(TEXT(Assumptions!B60,"MM/DD/YYYY")),0)&lt;=DATE(2030,4,30)),1,0))&gt;0,0,-('Working Capital'!AS8-'Working Capital'!AR8))</f>
        <v/>
      </c>
      <c r="AT11" s="156">
        <f>IF((IF(AND(Assumptions!B51&lt;&gt;"",IFERROR(DATEVALUE(TEXT(Assumptions!B51,"MM/DD/YYYY")),0)&gt;=DATE(2030,5,1),IFERROR(DATEVALUE(TEXT(Assumptions!B51,"MM/DD/YYYY")),0)&lt;=DATE(2030,5,31)),1,0)+IF(AND(Assumptions!B52&lt;&gt;"",IFERROR(DATEVALUE(TEXT(Assumptions!B52,"MM/DD/YYYY")),0)&gt;=DATE(2030,5,1),IFERROR(DATEVALUE(TEXT(Assumptions!B52,"MM/DD/YYYY")),0)&lt;=DATE(2030,5,31)),1,0)+IF(AND(Assumptions!B53&lt;&gt;"",IFERROR(DATEVALUE(TEXT(Assumptions!B53,"MM/DD/YYYY")),0)&gt;=DATE(2030,5,1),IFERROR(DATEVALUE(TEXT(Assumptions!B53,"MM/DD/YYYY")),0)&lt;=DATE(2030,5,31)),1,0)+IF(AND(Assumptions!B54&lt;&gt;"",IFERROR(DATEVALUE(TEXT(Assumptions!B54,"MM/DD/YYYY")),0)&gt;=DATE(2030,5,1),IFERROR(DATEVALUE(TEXT(Assumptions!B54,"MM/DD/YYYY")),0)&lt;=DATE(2030,5,31)),1,0)+IF(AND(Assumptions!B55&lt;&gt;"",IFERROR(DATEVALUE(TEXT(Assumptions!B55,"MM/DD/YYYY")),0)&gt;=DATE(2030,5,1),IFERROR(DATEVALUE(TEXT(Assumptions!B55,"MM/DD/YYYY")),0)&lt;=DATE(2030,5,31)),1,0)+IF(AND(Assumptions!B56&lt;&gt;"",IFERROR(DATEVALUE(TEXT(Assumptions!B56,"MM/DD/YYYY")),0)&gt;=DATE(2030,5,1),IFERROR(DATEVALUE(TEXT(Assumptions!B56,"MM/DD/YYYY")),0)&lt;=DATE(2030,5,31)),1,0)+IF(AND(Assumptions!B57&lt;&gt;"",IFERROR(DATEVALUE(TEXT(Assumptions!B57,"MM/DD/YYYY")),0)&gt;=DATE(2030,5,1),IFERROR(DATEVALUE(TEXT(Assumptions!B57,"MM/DD/YYYY")),0)&lt;=DATE(2030,5,31)),1,0)+IF(AND(Assumptions!B58&lt;&gt;"",IFERROR(DATEVALUE(TEXT(Assumptions!B58,"MM/DD/YYYY")),0)&gt;=DATE(2030,5,1),IFERROR(DATEVALUE(TEXT(Assumptions!B58,"MM/DD/YYYY")),0)&lt;=DATE(2030,5,31)),1,0)+IF(AND(Assumptions!B59&lt;&gt;"",IFERROR(DATEVALUE(TEXT(Assumptions!B59,"MM/DD/YYYY")),0)&gt;=DATE(2030,5,1),IFERROR(DATEVALUE(TEXT(Assumptions!B59,"MM/DD/YYYY")),0)&lt;=DATE(2030,5,31)),1,0)+IF(AND(Assumptions!B60&lt;&gt;"",IFERROR(DATEVALUE(TEXT(Assumptions!B60,"MM/DD/YYYY")),0)&gt;=DATE(2030,5,1),IFERROR(DATEVALUE(TEXT(Assumptions!B60,"MM/DD/YYYY")),0)&lt;=DATE(2030,5,31)),1,0))&gt;0,0,-('Working Capital'!AT8-'Working Capital'!AS8))</f>
        <v/>
      </c>
      <c r="AU11" s="156">
        <f>IF((IF(AND(Assumptions!B51&lt;&gt;"",IFERROR(DATEVALUE(TEXT(Assumptions!B51,"MM/DD/YYYY")),0)&gt;=DATE(2030,6,1),IFERROR(DATEVALUE(TEXT(Assumptions!B51,"MM/DD/YYYY")),0)&lt;=DATE(2030,6,30)),1,0)+IF(AND(Assumptions!B52&lt;&gt;"",IFERROR(DATEVALUE(TEXT(Assumptions!B52,"MM/DD/YYYY")),0)&gt;=DATE(2030,6,1),IFERROR(DATEVALUE(TEXT(Assumptions!B52,"MM/DD/YYYY")),0)&lt;=DATE(2030,6,30)),1,0)+IF(AND(Assumptions!B53&lt;&gt;"",IFERROR(DATEVALUE(TEXT(Assumptions!B53,"MM/DD/YYYY")),0)&gt;=DATE(2030,6,1),IFERROR(DATEVALUE(TEXT(Assumptions!B53,"MM/DD/YYYY")),0)&lt;=DATE(2030,6,30)),1,0)+IF(AND(Assumptions!B54&lt;&gt;"",IFERROR(DATEVALUE(TEXT(Assumptions!B54,"MM/DD/YYYY")),0)&gt;=DATE(2030,6,1),IFERROR(DATEVALUE(TEXT(Assumptions!B54,"MM/DD/YYYY")),0)&lt;=DATE(2030,6,30)),1,0)+IF(AND(Assumptions!B55&lt;&gt;"",IFERROR(DATEVALUE(TEXT(Assumptions!B55,"MM/DD/YYYY")),0)&gt;=DATE(2030,6,1),IFERROR(DATEVALUE(TEXT(Assumptions!B55,"MM/DD/YYYY")),0)&lt;=DATE(2030,6,30)),1,0)+IF(AND(Assumptions!B56&lt;&gt;"",IFERROR(DATEVALUE(TEXT(Assumptions!B56,"MM/DD/YYYY")),0)&gt;=DATE(2030,6,1),IFERROR(DATEVALUE(TEXT(Assumptions!B56,"MM/DD/YYYY")),0)&lt;=DATE(2030,6,30)),1,0)+IF(AND(Assumptions!B57&lt;&gt;"",IFERROR(DATEVALUE(TEXT(Assumptions!B57,"MM/DD/YYYY")),0)&gt;=DATE(2030,6,1),IFERROR(DATEVALUE(TEXT(Assumptions!B57,"MM/DD/YYYY")),0)&lt;=DATE(2030,6,30)),1,0)+IF(AND(Assumptions!B58&lt;&gt;"",IFERROR(DATEVALUE(TEXT(Assumptions!B58,"MM/DD/YYYY")),0)&gt;=DATE(2030,6,1),IFERROR(DATEVALUE(TEXT(Assumptions!B58,"MM/DD/YYYY")),0)&lt;=DATE(2030,6,30)),1,0)+IF(AND(Assumptions!B59&lt;&gt;"",IFERROR(DATEVALUE(TEXT(Assumptions!B59,"MM/DD/YYYY")),0)&gt;=DATE(2030,6,1),IFERROR(DATEVALUE(TEXT(Assumptions!B59,"MM/DD/YYYY")),0)&lt;=DATE(2030,6,30)),1,0)+IF(AND(Assumptions!B60&lt;&gt;"",IFERROR(DATEVALUE(TEXT(Assumptions!B60,"MM/DD/YYYY")),0)&gt;=DATE(2030,6,1),IFERROR(DATEVALUE(TEXT(Assumptions!B60,"MM/DD/YYYY")),0)&lt;=DATE(2030,6,30)),1,0))&gt;0,0,-('Working Capital'!AU8-'Working Capital'!AT8))</f>
        <v/>
      </c>
      <c r="AV11" s="156">
        <f>IF((IF(AND(Assumptions!B51&lt;&gt;"",IFERROR(DATEVALUE(TEXT(Assumptions!B51,"MM/DD/YYYY")),0)&gt;=DATE(2030,7,1),IFERROR(DATEVALUE(TEXT(Assumptions!B51,"MM/DD/YYYY")),0)&lt;=DATE(2030,7,31)),1,0)+IF(AND(Assumptions!B52&lt;&gt;"",IFERROR(DATEVALUE(TEXT(Assumptions!B52,"MM/DD/YYYY")),0)&gt;=DATE(2030,7,1),IFERROR(DATEVALUE(TEXT(Assumptions!B52,"MM/DD/YYYY")),0)&lt;=DATE(2030,7,31)),1,0)+IF(AND(Assumptions!B53&lt;&gt;"",IFERROR(DATEVALUE(TEXT(Assumptions!B53,"MM/DD/YYYY")),0)&gt;=DATE(2030,7,1),IFERROR(DATEVALUE(TEXT(Assumptions!B53,"MM/DD/YYYY")),0)&lt;=DATE(2030,7,31)),1,0)+IF(AND(Assumptions!B54&lt;&gt;"",IFERROR(DATEVALUE(TEXT(Assumptions!B54,"MM/DD/YYYY")),0)&gt;=DATE(2030,7,1),IFERROR(DATEVALUE(TEXT(Assumptions!B54,"MM/DD/YYYY")),0)&lt;=DATE(2030,7,31)),1,0)+IF(AND(Assumptions!B55&lt;&gt;"",IFERROR(DATEVALUE(TEXT(Assumptions!B55,"MM/DD/YYYY")),0)&gt;=DATE(2030,7,1),IFERROR(DATEVALUE(TEXT(Assumptions!B55,"MM/DD/YYYY")),0)&lt;=DATE(2030,7,31)),1,0)+IF(AND(Assumptions!B56&lt;&gt;"",IFERROR(DATEVALUE(TEXT(Assumptions!B56,"MM/DD/YYYY")),0)&gt;=DATE(2030,7,1),IFERROR(DATEVALUE(TEXT(Assumptions!B56,"MM/DD/YYYY")),0)&lt;=DATE(2030,7,31)),1,0)+IF(AND(Assumptions!B57&lt;&gt;"",IFERROR(DATEVALUE(TEXT(Assumptions!B57,"MM/DD/YYYY")),0)&gt;=DATE(2030,7,1),IFERROR(DATEVALUE(TEXT(Assumptions!B57,"MM/DD/YYYY")),0)&lt;=DATE(2030,7,31)),1,0)+IF(AND(Assumptions!B58&lt;&gt;"",IFERROR(DATEVALUE(TEXT(Assumptions!B58,"MM/DD/YYYY")),0)&gt;=DATE(2030,7,1),IFERROR(DATEVALUE(TEXT(Assumptions!B58,"MM/DD/YYYY")),0)&lt;=DATE(2030,7,31)),1,0)+IF(AND(Assumptions!B59&lt;&gt;"",IFERROR(DATEVALUE(TEXT(Assumptions!B59,"MM/DD/YYYY")),0)&gt;=DATE(2030,7,1),IFERROR(DATEVALUE(TEXT(Assumptions!B59,"MM/DD/YYYY")),0)&lt;=DATE(2030,7,31)),1,0)+IF(AND(Assumptions!B60&lt;&gt;"",IFERROR(DATEVALUE(TEXT(Assumptions!B60,"MM/DD/YYYY")),0)&gt;=DATE(2030,7,1),IFERROR(DATEVALUE(TEXT(Assumptions!B60,"MM/DD/YYYY")),0)&lt;=DATE(2030,7,31)),1,0))&gt;0,0,-('Working Capital'!AV8-'Working Capital'!AU8))</f>
        <v/>
      </c>
      <c r="AW11" s="156">
        <f>IF((IF(AND(Assumptions!B51&lt;&gt;"",IFERROR(DATEVALUE(TEXT(Assumptions!B51,"MM/DD/YYYY")),0)&gt;=DATE(2030,8,1),IFERROR(DATEVALUE(TEXT(Assumptions!B51,"MM/DD/YYYY")),0)&lt;=DATE(2030,8,31)),1,0)+IF(AND(Assumptions!B52&lt;&gt;"",IFERROR(DATEVALUE(TEXT(Assumptions!B52,"MM/DD/YYYY")),0)&gt;=DATE(2030,8,1),IFERROR(DATEVALUE(TEXT(Assumptions!B52,"MM/DD/YYYY")),0)&lt;=DATE(2030,8,31)),1,0)+IF(AND(Assumptions!B53&lt;&gt;"",IFERROR(DATEVALUE(TEXT(Assumptions!B53,"MM/DD/YYYY")),0)&gt;=DATE(2030,8,1),IFERROR(DATEVALUE(TEXT(Assumptions!B53,"MM/DD/YYYY")),0)&lt;=DATE(2030,8,31)),1,0)+IF(AND(Assumptions!B54&lt;&gt;"",IFERROR(DATEVALUE(TEXT(Assumptions!B54,"MM/DD/YYYY")),0)&gt;=DATE(2030,8,1),IFERROR(DATEVALUE(TEXT(Assumptions!B54,"MM/DD/YYYY")),0)&lt;=DATE(2030,8,31)),1,0)+IF(AND(Assumptions!B55&lt;&gt;"",IFERROR(DATEVALUE(TEXT(Assumptions!B55,"MM/DD/YYYY")),0)&gt;=DATE(2030,8,1),IFERROR(DATEVALUE(TEXT(Assumptions!B55,"MM/DD/YYYY")),0)&lt;=DATE(2030,8,31)),1,0)+IF(AND(Assumptions!B56&lt;&gt;"",IFERROR(DATEVALUE(TEXT(Assumptions!B56,"MM/DD/YYYY")),0)&gt;=DATE(2030,8,1),IFERROR(DATEVALUE(TEXT(Assumptions!B56,"MM/DD/YYYY")),0)&lt;=DATE(2030,8,31)),1,0)+IF(AND(Assumptions!B57&lt;&gt;"",IFERROR(DATEVALUE(TEXT(Assumptions!B57,"MM/DD/YYYY")),0)&gt;=DATE(2030,8,1),IFERROR(DATEVALUE(TEXT(Assumptions!B57,"MM/DD/YYYY")),0)&lt;=DATE(2030,8,31)),1,0)+IF(AND(Assumptions!B58&lt;&gt;"",IFERROR(DATEVALUE(TEXT(Assumptions!B58,"MM/DD/YYYY")),0)&gt;=DATE(2030,8,1),IFERROR(DATEVALUE(TEXT(Assumptions!B58,"MM/DD/YYYY")),0)&lt;=DATE(2030,8,31)),1,0)+IF(AND(Assumptions!B59&lt;&gt;"",IFERROR(DATEVALUE(TEXT(Assumptions!B59,"MM/DD/YYYY")),0)&gt;=DATE(2030,8,1),IFERROR(DATEVALUE(TEXT(Assumptions!B59,"MM/DD/YYYY")),0)&lt;=DATE(2030,8,31)),1,0)+IF(AND(Assumptions!B60&lt;&gt;"",IFERROR(DATEVALUE(TEXT(Assumptions!B60,"MM/DD/YYYY")),0)&gt;=DATE(2030,8,1),IFERROR(DATEVALUE(TEXT(Assumptions!B60,"MM/DD/YYYY")),0)&lt;=DATE(2030,8,31)),1,0))&gt;0,0,-('Working Capital'!AW8-'Working Capital'!AV8))</f>
        <v/>
      </c>
      <c r="AX11" s="156">
        <f>IF((IF(AND(Assumptions!B51&lt;&gt;"",IFERROR(DATEVALUE(TEXT(Assumptions!B51,"MM/DD/YYYY")),0)&gt;=DATE(2030,9,1),IFERROR(DATEVALUE(TEXT(Assumptions!B51,"MM/DD/YYYY")),0)&lt;=DATE(2030,9,30)),1,0)+IF(AND(Assumptions!B52&lt;&gt;"",IFERROR(DATEVALUE(TEXT(Assumptions!B52,"MM/DD/YYYY")),0)&gt;=DATE(2030,9,1),IFERROR(DATEVALUE(TEXT(Assumptions!B52,"MM/DD/YYYY")),0)&lt;=DATE(2030,9,30)),1,0)+IF(AND(Assumptions!B53&lt;&gt;"",IFERROR(DATEVALUE(TEXT(Assumptions!B53,"MM/DD/YYYY")),0)&gt;=DATE(2030,9,1),IFERROR(DATEVALUE(TEXT(Assumptions!B53,"MM/DD/YYYY")),0)&lt;=DATE(2030,9,30)),1,0)+IF(AND(Assumptions!B54&lt;&gt;"",IFERROR(DATEVALUE(TEXT(Assumptions!B54,"MM/DD/YYYY")),0)&gt;=DATE(2030,9,1),IFERROR(DATEVALUE(TEXT(Assumptions!B54,"MM/DD/YYYY")),0)&lt;=DATE(2030,9,30)),1,0)+IF(AND(Assumptions!B55&lt;&gt;"",IFERROR(DATEVALUE(TEXT(Assumptions!B55,"MM/DD/YYYY")),0)&gt;=DATE(2030,9,1),IFERROR(DATEVALUE(TEXT(Assumptions!B55,"MM/DD/YYYY")),0)&lt;=DATE(2030,9,30)),1,0)+IF(AND(Assumptions!B56&lt;&gt;"",IFERROR(DATEVALUE(TEXT(Assumptions!B56,"MM/DD/YYYY")),0)&gt;=DATE(2030,9,1),IFERROR(DATEVALUE(TEXT(Assumptions!B56,"MM/DD/YYYY")),0)&lt;=DATE(2030,9,30)),1,0)+IF(AND(Assumptions!B57&lt;&gt;"",IFERROR(DATEVALUE(TEXT(Assumptions!B57,"MM/DD/YYYY")),0)&gt;=DATE(2030,9,1),IFERROR(DATEVALUE(TEXT(Assumptions!B57,"MM/DD/YYYY")),0)&lt;=DATE(2030,9,30)),1,0)+IF(AND(Assumptions!B58&lt;&gt;"",IFERROR(DATEVALUE(TEXT(Assumptions!B58,"MM/DD/YYYY")),0)&gt;=DATE(2030,9,1),IFERROR(DATEVALUE(TEXT(Assumptions!B58,"MM/DD/YYYY")),0)&lt;=DATE(2030,9,30)),1,0)+IF(AND(Assumptions!B59&lt;&gt;"",IFERROR(DATEVALUE(TEXT(Assumptions!B59,"MM/DD/YYYY")),0)&gt;=DATE(2030,9,1),IFERROR(DATEVALUE(TEXT(Assumptions!B59,"MM/DD/YYYY")),0)&lt;=DATE(2030,9,30)),1,0)+IF(AND(Assumptions!B60&lt;&gt;"",IFERROR(DATEVALUE(TEXT(Assumptions!B60,"MM/DD/YYYY")),0)&gt;=DATE(2030,9,1),IFERROR(DATEVALUE(TEXT(Assumptions!B60,"MM/DD/YYYY")),0)&lt;=DATE(2030,9,30)),1,0))&gt;0,0,-('Working Capital'!AX8-'Working Capital'!AW8))</f>
        <v/>
      </c>
      <c r="AY11" s="156">
        <f>IF((IF(AND(Assumptions!B51&lt;&gt;"",IFERROR(DATEVALUE(TEXT(Assumptions!B51,"MM/DD/YYYY")),0)&gt;=DATE(2030,10,1),IFERROR(DATEVALUE(TEXT(Assumptions!B51,"MM/DD/YYYY")),0)&lt;=DATE(2030,10,31)),1,0)+IF(AND(Assumptions!B52&lt;&gt;"",IFERROR(DATEVALUE(TEXT(Assumptions!B52,"MM/DD/YYYY")),0)&gt;=DATE(2030,10,1),IFERROR(DATEVALUE(TEXT(Assumptions!B52,"MM/DD/YYYY")),0)&lt;=DATE(2030,10,31)),1,0)+IF(AND(Assumptions!B53&lt;&gt;"",IFERROR(DATEVALUE(TEXT(Assumptions!B53,"MM/DD/YYYY")),0)&gt;=DATE(2030,10,1),IFERROR(DATEVALUE(TEXT(Assumptions!B53,"MM/DD/YYYY")),0)&lt;=DATE(2030,10,31)),1,0)+IF(AND(Assumptions!B54&lt;&gt;"",IFERROR(DATEVALUE(TEXT(Assumptions!B54,"MM/DD/YYYY")),0)&gt;=DATE(2030,10,1),IFERROR(DATEVALUE(TEXT(Assumptions!B54,"MM/DD/YYYY")),0)&lt;=DATE(2030,10,31)),1,0)+IF(AND(Assumptions!B55&lt;&gt;"",IFERROR(DATEVALUE(TEXT(Assumptions!B55,"MM/DD/YYYY")),0)&gt;=DATE(2030,10,1),IFERROR(DATEVALUE(TEXT(Assumptions!B55,"MM/DD/YYYY")),0)&lt;=DATE(2030,10,31)),1,0)+IF(AND(Assumptions!B56&lt;&gt;"",IFERROR(DATEVALUE(TEXT(Assumptions!B56,"MM/DD/YYYY")),0)&gt;=DATE(2030,10,1),IFERROR(DATEVALUE(TEXT(Assumptions!B56,"MM/DD/YYYY")),0)&lt;=DATE(2030,10,31)),1,0)+IF(AND(Assumptions!B57&lt;&gt;"",IFERROR(DATEVALUE(TEXT(Assumptions!B57,"MM/DD/YYYY")),0)&gt;=DATE(2030,10,1),IFERROR(DATEVALUE(TEXT(Assumptions!B57,"MM/DD/YYYY")),0)&lt;=DATE(2030,10,31)),1,0)+IF(AND(Assumptions!B58&lt;&gt;"",IFERROR(DATEVALUE(TEXT(Assumptions!B58,"MM/DD/YYYY")),0)&gt;=DATE(2030,10,1),IFERROR(DATEVALUE(TEXT(Assumptions!B58,"MM/DD/YYYY")),0)&lt;=DATE(2030,10,31)),1,0)+IF(AND(Assumptions!B59&lt;&gt;"",IFERROR(DATEVALUE(TEXT(Assumptions!B59,"MM/DD/YYYY")),0)&gt;=DATE(2030,10,1),IFERROR(DATEVALUE(TEXT(Assumptions!B59,"MM/DD/YYYY")),0)&lt;=DATE(2030,10,31)),1,0)+IF(AND(Assumptions!B60&lt;&gt;"",IFERROR(DATEVALUE(TEXT(Assumptions!B60,"MM/DD/YYYY")),0)&gt;=DATE(2030,10,1),IFERROR(DATEVALUE(TEXT(Assumptions!B60,"MM/DD/YYYY")),0)&lt;=DATE(2030,10,31)),1,0))&gt;0,0,-('Working Capital'!AY8-'Working Capital'!AX8))</f>
        <v/>
      </c>
      <c r="AZ11" s="156">
        <f>IF((IF(AND(Assumptions!B51&lt;&gt;"",IFERROR(DATEVALUE(TEXT(Assumptions!B51,"MM/DD/YYYY")),0)&gt;=DATE(2030,11,1),IFERROR(DATEVALUE(TEXT(Assumptions!B51,"MM/DD/YYYY")),0)&lt;=DATE(2030,11,30)),1,0)+IF(AND(Assumptions!B52&lt;&gt;"",IFERROR(DATEVALUE(TEXT(Assumptions!B52,"MM/DD/YYYY")),0)&gt;=DATE(2030,11,1),IFERROR(DATEVALUE(TEXT(Assumptions!B52,"MM/DD/YYYY")),0)&lt;=DATE(2030,11,30)),1,0)+IF(AND(Assumptions!B53&lt;&gt;"",IFERROR(DATEVALUE(TEXT(Assumptions!B53,"MM/DD/YYYY")),0)&gt;=DATE(2030,11,1),IFERROR(DATEVALUE(TEXT(Assumptions!B53,"MM/DD/YYYY")),0)&lt;=DATE(2030,11,30)),1,0)+IF(AND(Assumptions!B54&lt;&gt;"",IFERROR(DATEVALUE(TEXT(Assumptions!B54,"MM/DD/YYYY")),0)&gt;=DATE(2030,11,1),IFERROR(DATEVALUE(TEXT(Assumptions!B54,"MM/DD/YYYY")),0)&lt;=DATE(2030,11,30)),1,0)+IF(AND(Assumptions!B55&lt;&gt;"",IFERROR(DATEVALUE(TEXT(Assumptions!B55,"MM/DD/YYYY")),0)&gt;=DATE(2030,11,1),IFERROR(DATEVALUE(TEXT(Assumptions!B55,"MM/DD/YYYY")),0)&lt;=DATE(2030,11,30)),1,0)+IF(AND(Assumptions!B56&lt;&gt;"",IFERROR(DATEVALUE(TEXT(Assumptions!B56,"MM/DD/YYYY")),0)&gt;=DATE(2030,11,1),IFERROR(DATEVALUE(TEXT(Assumptions!B56,"MM/DD/YYYY")),0)&lt;=DATE(2030,11,30)),1,0)+IF(AND(Assumptions!B57&lt;&gt;"",IFERROR(DATEVALUE(TEXT(Assumptions!B57,"MM/DD/YYYY")),0)&gt;=DATE(2030,11,1),IFERROR(DATEVALUE(TEXT(Assumptions!B57,"MM/DD/YYYY")),0)&lt;=DATE(2030,11,30)),1,0)+IF(AND(Assumptions!B58&lt;&gt;"",IFERROR(DATEVALUE(TEXT(Assumptions!B58,"MM/DD/YYYY")),0)&gt;=DATE(2030,11,1),IFERROR(DATEVALUE(TEXT(Assumptions!B58,"MM/DD/YYYY")),0)&lt;=DATE(2030,11,30)),1,0)+IF(AND(Assumptions!B59&lt;&gt;"",IFERROR(DATEVALUE(TEXT(Assumptions!B59,"MM/DD/YYYY")),0)&gt;=DATE(2030,11,1),IFERROR(DATEVALUE(TEXT(Assumptions!B59,"MM/DD/YYYY")),0)&lt;=DATE(2030,11,30)),1,0)+IF(AND(Assumptions!B60&lt;&gt;"",IFERROR(DATEVALUE(TEXT(Assumptions!B60,"MM/DD/YYYY")),0)&gt;=DATE(2030,11,1),IFERROR(DATEVALUE(TEXT(Assumptions!B60,"MM/DD/YYYY")),0)&lt;=DATE(2030,11,30)),1,0))&gt;0,0,-('Working Capital'!AZ8-'Working Capital'!AY8))</f>
        <v/>
      </c>
      <c r="BA11" s="156">
        <f>IF((IF(AND(Assumptions!B51&lt;&gt;"",IFERROR(DATEVALUE(TEXT(Assumptions!B51,"MM/DD/YYYY")),0)&gt;=DATE(2030,12,1),IFERROR(DATEVALUE(TEXT(Assumptions!B51,"MM/DD/YYYY")),0)&lt;=DATE(2030,12,31)),1,0)+IF(AND(Assumptions!B52&lt;&gt;"",IFERROR(DATEVALUE(TEXT(Assumptions!B52,"MM/DD/YYYY")),0)&gt;=DATE(2030,12,1),IFERROR(DATEVALUE(TEXT(Assumptions!B52,"MM/DD/YYYY")),0)&lt;=DATE(2030,12,31)),1,0)+IF(AND(Assumptions!B53&lt;&gt;"",IFERROR(DATEVALUE(TEXT(Assumptions!B53,"MM/DD/YYYY")),0)&gt;=DATE(2030,12,1),IFERROR(DATEVALUE(TEXT(Assumptions!B53,"MM/DD/YYYY")),0)&lt;=DATE(2030,12,31)),1,0)+IF(AND(Assumptions!B54&lt;&gt;"",IFERROR(DATEVALUE(TEXT(Assumptions!B54,"MM/DD/YYYY")),0)&gt;=DATE(2030,12,1),IFERROR(DATEVALUE(TEXT(Assumptions!B54,"MM/DD/YYYY")),0)&lt;=DATE(2030,12,31)),1,0)+IF(AND(Assumptions!B55&lt;&gt;"",IFERROR(DATEVALUE(TEXT(Assumptions!B55,"MM/DD/YYYY")),0)&gt;=DATE(2030,12,1),IFERROR(DATEVALUE(TEXT(Assumptions!B55,"MM/DD/YYYY")),0)&lt;=DATE(2030,12,31)),1,0)+IF(AND(Assumptions!B56&lt;&gt;"",IFERROR(DATEVALUE(TEXT(Assumptions!B56,"MM/DD/YYYY")),0)&gt;=DATE(2030,12,1),IFERROR(DATEVALUE(TEXT(Assumptions!B56,"MM/DD/YYYY")),0)&lt;=DATE(2030,12,31)),1,0)+IF(AND(Assumptions!B57&lt;&gt;"",IFERROR(DATEVALUE(TEXT(Assumptions!B57,"MM/DD/YYYY")),0)&gt;=DATE(2030,12,1),IFERROR(DATEVALUE(TEXT(Assumptions!B57,"MM/DD/YYYY")),0)&lt;=DATE(2030,12,31)),1,0)+IF(AND(Assumptions!B58&lt;&gt;"",IFERROR(DATEVALUE(TEXT(Assumptions!B58,"MM/DD/YYYY")),0)&gt;=DATE(2030,12,1),IFERROR(DATEVALUE(TEXT(Assumptions!B58,"MM/DD/YYYY")),0)&lt;=DATE(2030,12,31)),1,0)+IF(AND(Assumptions!B59&lt;&gt;"",IFERROR(DATEVALUE(TEXT(Assumptions!B59,"MM/DD/YYYY")),0)&gt;=DATE(2030,12,1),IFERROR(DATEVALUE(TEXT(Assumptions!B59,"MM/DD/YYYY")),0)&lt;=DATE(2030,12,31)),1,0)+IF(AND(Assumptions!B60&lt;&gt;"",IFERROR(DATEVALUE(TEXT(Assumptions!B60,"MM/DD/YYYY")),0)&gt;=DATE(2030,12,1),IFERROR(DATEVALUE(TEXT(Assumptions!B60,"MM/DD/YYYY")),0)&lt;=DATE(2030,12,31)),1,0))&gt;0,0,-('Working Capital'!BA8-'Working Capital'!AZ8))</f>
        <v/>
      </c>
      <c r="BB11" s="156">
        <f>IF((IF(AND(Assumptions!B51&lt;&gt;"",IFERROR(DATEVALUE(TEXT(Assumptions!B51,"MM/DD/YYYY")),0)&gt;=DATE(2031,1,1),IFERROR(DATEVALUE(TEXT(Assumptions!B51,"MM/DD/YYYY")),0)&lt;=DATE(2031,1,31)),1,0)+IF(AND(Assumptions!B52&lt;&gt;"",IFERROR(DATEVALUE(TEXT(Assumptions!B52,"MM/DD/YYYY")),0)&gt;=DATE(2031,1,1),IFERROR(DATEVALUE(TEXT(Assumptions!B52,"MM/DD/YYYY")),0)&lt;=DATE(2031,1,31)),1,0)+IF(AND(Assumptions!B53&lt;&gt;"",IFERROR(DATEVALUE(TEXT(Assumptions!B53,"MM/DD/YYYY")),0)&gt;=DATE(2031,1,1),IFERROR(DATEVALUE(TEXT(Assumptions!B53,"MM/DD/YYYY")),0)&lt;=DATE(2031,1,31)),1,0)+IF(AND(Assumptions!B54&lt;&gt;"",IFERROR(DATEVALUE(TEXT(Assumptions!B54,"MM/DD/YYYY")),0)&gt;=DATE(2031,1,1),IFERROR(DATEVALUE(TEXT(Assumptions!B54,"MM/DD/YYYY")),0)&lt;=DATE(2031,1,31)),1,0)+IF(AND(Assumptions!B55&lt;&gt;"",IFERROR(DATEVALUE(TEXT(Assumptions!B55,"MM/DD/YYYY")),0)&gt;=DATE(2031,1,1),IFERROR(DATEVALUE(TEXT(Assumptions!B55,"MM/DD/YYYY")),0)&lt;=DATE(2031,1,31)),1,0)+IF(AND(Assumptions!B56&lt;&gt;"",IFERROR(DATEVALUE(TEXT(Assumptions!B56,"MM/DD/YYYY")),0)&gt;=DATE(2031,1,1),IFERROR(DATEVALUE(TEXT(Assumptions!B56,"MM/DD/YYYY")),0)&lt;=DATE(2031,1,31)),1,0)+IF(AND(Assumptions!B57&lt;&gt;"",IFERROR(DATEVALUE(TEXT(Assumptions!B57,"MM/DD/YYYY")),0)&gt;=DATE(2031,1,1),IFERROR(DATEVALUE(TEXT(Assumptions!B57,"MM/DD/YYYY")),0)&lt;=DATE(2031,1,31)),1,0)+IF(AND(Assumptions!B58&lt;&gt;"",IFERROR(DATEVALUE(TEXT(Assumptions!B58,"MM/DD/YYYY")),0)&gt;=DATE(2031,1,1),IFERROR(DATEVALUE(TEXT(Assumptions!B58,"MM/DD/YYYY")),0)&lt;=DATE(2031,1,31)),1,0)+IF(AND(Assumptions!B59&lt;&gt;"",IFERROR(DATEVALUE(TEXT(Assumptions!B59,"MM/DD/YYYY")),0)&gt;=DATE(2031,1,1),IFERROR(DATEVALUE(TEXT(Assumptions!B59,"MM/DD/YYYY")),0)&lt;=DATE(2031,1,31)),1,0)+IF(AND(Assumptions!B60&lt;&gt;"",IFERROR(DATEVALUE(TEXT(Assumptions!B60,"MM/DD/YYYY")),0)&gt;=DATE(2031,1,1),IFERROR(DATEVALUE(TEXT(Assumptions!B60,"MM/DD/YYYY")),0)&lt;=DATE(2031,1,31)),1,0))&gt;0,0,-('Working Capital'!BB8-'Working Capital'!BA8))</f>
        <v/>
      </c>
      <c r="BC11" s="156">
        <f>IF((IF(AND(Assumptions!B51&lt;&gt;"",IFERROR(DATEVALUE(TEXT(Assumptions!B51,"MM/DD/YYYY")),0)&gt;=DATE(2031,2,1),IFERROR(DATEVALUE(TEXT(Assumptions!B51,"MM/DD/YYYY")),0)&lt;=DATE(2031,2,28)),1,0)+IF(AND(Assumptions!B52&lt;&gt;"",IFERROR(DATEVALUE(TEXT(Assumptions!B52,"MM/DD/YYYY")),0)&gt;=DATE(2031,2,1),IFERROR(DATEVALUE(TEXT(Assumptions!B52,"MM/DD/YYYY")),0)&lt;=DATE(2031,2,28)),1,0)+IF(AND(Assumptions!B53&lt;&gt;"",IFERROR(DATEVALUE(TEXT(Assumptions!B53,"MM/DD/YYYY")),0)&gt;=DATE(2031,2,1),IFERROR(DATEVALUE(TEXT(Assumptions!B53,"MM/DD/YYYY")),0)&lt;=DATE(2031,2,28)),1,0)+IF(AND(Assumptions!B54&lt;&gt;"",IFERROR(DATEVALUE(TEXT(Assumptions!B54,"MM/DD/YYYY")),0)&gt;=DATE(2031,2,1),IFERROR(DATEVALUE(TEXT(Assumptions!B54,"MM/DD/YYYY")),0)&lt;=DATE(2031,2,28)),1,0)+IF(AND(Assumptions!B55&lt;&gt;"",IFERROR(DATEVALUE(TEXT(Assumptions!B55,"MM/DD/YYYY")),0)&gt;=DATE(2031,2,1),IFERROR(DATEVALUE(TEXT(Assumptions!B55,"MM/DD/YYYY")),0)&lt;=DATE(2031,2,28)),1,0)+IF(AND(Assumptions!B56&lt;&gt;"",IFERROR(DATEVALUE(TEXT(Assumptions!B56,"MM/DD/YYYY")),0)&gt;=DATE(2031,2,1),IFERROR(DATEVALUE(TEXT(Assumptions!B56,"MM/DD/YYYY")),0)&lt;=DATE(2031,2,28)),1,0)+IF(AND(Assumptions!B57&lt;&gt;"",IFERROR(DATEVALUE(TEXT(Assumptions!B57,"MM/DD/YYYY")),0)&gt;=DATE(2031,2,1),IFERROR(DATEVALUE(TEXT(Assumptions!B57,"MM/DD/YYYY")),0)&lt;=DATE(2031,2,28)),1,0)+IF(AND(Assumptions!B58&lt;&gt;"",IFERROR(DATEVALUE(TEXT(Assumptions!B58,"MM/DD/YYYY")),0)&gt;=DATE(2031,2,1),IFERROR(DATEVALUE(TEXT(Assumptions!B58,"MM/DD/YYYY")),0)&lt;=DATE(2031,2,28)),1,0)+IF(AND(Assumptions!B59&lt;&gt;"",IFERROR(DATEVALUE(TEXT(Assumptions!B59,"MM/DD/YYYY")),0)&gt;=DATE(2031,2,1),IFERROR(DATEVALUE(TEXT(Assumptions!B59,"MM/DD/YYYY")),0)&lt;=DATE(2031,2,28)),1,0)+IF(AND(Assumptions!B60&lt;&gt;"",IFERROR(DATEVALUE(TEXT(Assumptions!B60,"MM/DD/YYYY")),0)&gt;=DATE(2031,2,1),IFERROR(DATEVALUE(TEXT(Assumptions!B60,"MM/DD/YYYY")),0)&lt;=DATE(2031,2,28)),1,0))&gt;0,0,-('Working Capital'!BC8-'Working Capital'!BB8))</f>
        <v/>
      </c>
      <c r="BD11" s="156">
        <f>IF((IF(AND(Assumptions!B51&lt;&gt;"",IFERROR(DATEVALUE(TEXT(Assumptions!B51,"MM/DD/YYYY")),0)&gt;=DATE(2031,3,1),IFERROR(DATEVALUE(TEXT(Assumptions!B51,"MM/DD/YYYY")),0)&lt;=DATE(2031,3,31)),1,0)+IF(AND(Assumptions!B52&lt;&gt;"",IFERROR(DATEVALUE(TEXT(Assumptions!B52,"MM/DD/YYYY")),0)&gt;=DATE(2031,3,1),IFERROR(DATEVALUE(TEXT(Assumptions!B52,"MM/DD/YYYY")),0)&lt;=DATE(2031,3,31)),1,0)+IF(AND(Assumptions!B53&lt;&gt;"",IFERROR(DATEVALUE(TEXT(Assumptions!B53,"MM/DD/YYYY")),0)&gt;=DATE(2031,3,1),IFERROR(DATEVALUE(TEXT(Assumptions!B53,"MM/DD/YYYY")),0)&lt;=DATE(2031,3,31)),1,0)+IF(AND(Assumptions!B54&lt;&gt;"",IFERROR(DATEVALUE(TEXT(Assumptions!B54,"MM/DD/YYYY")),0)&gt;=DATE(2031,3,1),IFERROR(DATEVALUE(TEXT(Assumptions!B54,"MM/DD/YYYY")),0)&lt;=DATE(2031,3,31)),1,0)+IF(AND(Assumptions!B55&lt;&gt;"",IFERROR(DATEVALUE(TEXT(Assumptions!B55,"MM/DD/YYYY")),0)&gt;=DATE(2031,3,1),IFERROR(DATEVALUE(TEXT(Assumptions!B55,"MM/DD/YYYY")),0)&lt;=DATE(2031,3,31)),1,0)+IF(AND(Assumptions!B56&lt;&gt;"",IFERROR(DATEVALUE(TEXT(Assumptions!B56,"MM/DD/YYYY")),0)&gt;=DATE(2031,3,1),IFERROR(DATEVALUE(TEXT(Assumptions!B56,"MM/DD/YYYY")),0)&lt;=DATE(2031,3,31)),1,0)+IF(AND(Assumptions!B57&lt;&gt;"",IFERROR(DATEVALUE(TEXT(Assumptions!B57,"MM/DD/YYYY")),0)&gt;=DATE(2031,3,1),IFERROR(DATEVALUE(TEXT(Assumptions!B57,"MM/DD/YYYY")),0)&lt;=DATE(2031,3,31)),1,0)+IF(AND(Assumptions!B58&lt;&gt;"",IFERROR(DATEVALUE(TEXT(Assumptions!B58,"MM/DD/YYYY")),0)&gt;=DATE(2031,3,1),IFERROR(DATEVALUE(TEXT(Assumptions!B58,"MM/DD/YYYY")),0)&lt;=DATE(2031,3,31)),1,0)+IF(AND(Assumptions!B59&lt;&gt;"",IFERROR(DATEVALUE(TEXT(Assumptions!B59,"MM/DD/YYYY")),0)&gt;=DATE(2031,3,1),IFERROR(DATEVALUE(TEXT(Assumptions!B59,"MM/DD/YYYY")),0)&lt;=DATE(2031,3,31)),1,0)+IF(AND(Assumptions!B60&lt;&gt;"",IFERROR(DATEVALUE(TEXT(Assumptions!B60,"MM/DD/YYYY")),0)&gt;=DATE(2031,3,1),IFERROR(DATEVALUE(TEXT(Assumptions!B60,"MM/DD/YYYY")),0)&lt;=DATE(2031,3,31)),1,0))&gt;0,0,-('Working Capital'!BD8-'Working Capital'!BC8))</f>
        <v/>
      </c>
      <c r="BE11" s="156">
        <f>IF((IF(AND(Assumptions!B51&lt;&gt;"",IFERROR(DATEVALUE(TEXT(Assumptions!B51,"MM/DD/YYYY")),0)&gt;=DATE(2031,4,1),IFERROR(DATEVALUE(TEXT(Assumptions!B51,"MM/DD/YYYY")),0)&lt;=DATE(2031,4,30)),1,0)+IF(AND(Assumptions!B52&lt;&gt;"",IFERROR(DATEVALUE(TEXT(Assumptions!B52,"MM/DD/YYYY")),0)&gt;=DATE(2031,4,1),IFERROR(DATEVALUE(TEXT(Assumptions!B52,"MM/DD/YYYY")),0)&lt;=DATE(2031,4,30)),1,0)+IF(AND(Assumptions!B53&lt;&gt;"",IFERROR(DATEVALUE(TEXT(Assumptions!B53,"MM/DD/YYYY")),0)&gt;=DATE(2031,4,1),IFERROR(DATEVALUE(TEXT(Assumptions!B53,"MM/DD/YYYY")),0)&lt;=DATE(2031,4,30)),1,0)+IF(AND(Assumptions!B54&lt;&gt;"",IFERROR(DATEVALUE(TEXT(Assumptions!B54,"MM/DD/YYYY")),0)&gt;=DATE(2031,4,1),IFERROR(DATEVALUE(TEXT(Assumptions!B54,"MM/DD/YYYY")),0)&lt;=DATE(2031,4,30)),1,0)+IF(AND(Assumptions!B55&lt;&gt;"",IFERROR(DATEVALUE(TEXT(Assumptions!B55,"MM/DD/YYYY")),0)&gt;=DATE(2031,4,1),IFERROR(DATEVALUE(TEXT(Assumptions!B55,"MM/DD/YYYY")),0)&lt;=DATE(2031,4,30)),1,0)+IF(AND(Assumptions!B56&lt;&gt;"",IFERROR(DATEVALUE(TEXT(Assumptions!B56,"MM/DD/YYYY")),0)&gt;=DATE(2031,4,1),IFERROR(DATEVALUE(TEXT(Assumptions!B56,"MM/DD/YYYY")),0)&lt;=DATE(2031,4,30)),1,0)+IF(AND(Assumptions!B57&lt;&gt;"",IFERROR(DATEVALUE(TEXT(Assumptions!B57,"MM/DD/YYYY")),0)&gt;=DATE(2031,4,1),IFERROR(DATEVALUE(TEXT(Assumptions!B57,"MM/DD/YYYY")),0)&lt;=DATE(2031,4,30)),1,0)+IF(AND(Assumptions!B58&lt;&gt;"",IFERROR(DATEVALUE(TEXT(Assumptions!B58,"MM/DD/YYYY")),0)&gt;=DATE(2031,4,1),IFERROR(DATEVALUE(TEXT(Assumptions!B58,"MM/DD/YYYY")),0)&lt;=DATE(2031,4,30)),1,0)+IF(AND(Assumptions!B59&lt;&gt;"",IFERROR(DATEVALUE(TEXT(Assumptions!B59,"MM/DD/YYYY")),0)&gt;=DATE(2031,4,1),IFERROR(DATEVALUE(TEXT(Assumptions!B59,"MM/DD/YYYY")),0)&lt;=DATE(2031,4,30)),1,0)+IF(AND(Assumptions!B60&lt;&gt;"",IFERROR(DATEVALUE(TEXT(Assumptions!B60,"MM/DD/YYYY")),0)&gt;=DATE(2031,4,1),IFERROR(DATEVALUE(TEXT(Assumptions!B60,"MM/DD/YYYY")),0)&lt;=DATE(2031,4,30)),1,0))&gt;0,0,-('Working Capital'!BE8-'Working Capital'!BD8))</f>
        <v/>
      </c>
      <c r="BF11" s="156">
        <f>IF((IF(AND(Assumptions!B51&lt;&gt;"",IFERROR(DATEVALUE(TEXT(Assumptions!B51,"MM/DD/YYYY")),0)&gt;=DATE(2031,5,1),IFERROR(DATEVALUE(TEXT(Assumptions!B51,"MM/DD/YYYY")),0)&lt;=DATE(2031,5,31)),1,0)+IF(AND(Assumptions!B52&lt;&gt;"",IFERROR(DATEVALUE(TEXT(Assumptions!B52,"MM/DD/YYYY")),0)&gt;=DATE(2031,5,1),IFERROR(DATEVALUE(TEXT(Assumptions!B52,"MM/DD/YYYY")),0)&lt;=DATE(2031,5,31)),1,0)+IF(AND(Assumptions!B53&lt;&gt;"",IFERROR(DATEVALUE(TEXT(Assumptions!B53,"MM/DD/YYYY")),0)&gt;=DATE(2031,5,1),IFERROR(DATEVALUE(TEXT(Assumptions!B53,"MM/DD/YYYY")),0)&lt;=DATE(2031,5,31)),1,0)+IF(AND(Assumptions!B54&lt;&gt;"",IFERROR(DATEVALUE(TEXT(Assumptions!B54,"MM/DD/YYYY")),0)&gt;=DATE(2031,5,1),IFERROR(DATEVALUE(TEXT(Assumptions!B54,"MM/DD/YYYY")),0)&lt;=DATE(2031,5,31)),1,0)+IF(AND(Assumptions!B55&lt;&gt;"",IFERROR(DATEVALUE(TEXT(Assumptions!B55,"MM/DD/YYYY")),0)&gt;=DATE(2031,5,1),IFERROR(DATEVALUE(TEXT(Assumptions!B55,"MM/DD/YYYY")),0)&lt;=DATE(2031,5,31)),1,0)+IF(AND(Assumptions!B56&lt;&gt;"",IFERROR(DATEVALUE(TEXT(Assumptions!B56,"MM/DD/YYYY")),0)&gt;=DATE(2031,5,1),IFERROR(DATEVALUE(TEXT(Assumptions!B56,"MM/DD/YYYY")),0)&lt;=DATE(2031,5,31)),1,0)+IF(AND(Assumptions!B57&lt;&gt;"",IFERROR(DATEVALUE(TEXT(Assumptions!B57,"MM/DD/YYYY")),0)&gt;=DATE(2031,5,1),IFERROR(DATEVALUE(TEXT(Assumptions!B57,"MM/DD/YYYY")),0)&lt;=DATE(2031,5,31)),1,0)+IF(AND(Assumptions!B58&lt;&gt;"",IFERROR(DATEVALUE(TEXT(Assumptions!B58,"MM/DD/YYYY")),0)&gt;=DATE(2031,5,1),IFERROR(DATEVALUE(TEXT(Assumptions!B58,"MM/DD/YYYY")),0)&lt;=DATE(2031,5,31)),1,0)+IF(AND(Assumptions!B59&lt;&gt;"",IFERROR(DATEVALUE(TEXT(Assumptions!B59,"MM/DD/YYYY")),0)&gt;=DATE(2031,5,1),IFERROR(DATEVALUE(TEXT(Assumptions!B59,"MM/DD/YYYY")),0)&lt;=DATE(2031,5,31)),1,0)+IF(AND(Assumptions!B60&lt;&gt;"",IFERROR(DATEVALUE(TEXT(Assumptions!B60,"MM/DD/YYYY")),0)&gt;=DATE(2031,5,1),IFERROR(DATEVALUE(TEXT(Assumptions!B60,"MM/DD/YYYY")),0)&lt;=DATE(2031,5,31)),1,0))&gt;0,0,-('Working Capital'!BF8-'Working Capital'!BE8))</f>
        <v/>
      </c>
      <c r="BG11" s="156">
        <f>IF((IF(AND(Assumptions!B51&lt;&gt;"",IFERROR(DATEVALUE(TEXT(Assumptions!B51,"MM/DD/YYYY")),0)&gt;=DATE(2031,6,1),IFERROR(DATEVALUE(TEXT(Assumptions!B51,"MM/DD/YYYY")),0)&lt;=DATE(2031,6,30)),1,0)+IF(AND(Assumptions!B52&lt;&gt;"",IFERROR(DATEVALUE(TEXT(Assumptions!B52,"MM/DD/YYYY")),0)&gt;=DATE(2031,6,1),IFERROR(DATEVALUE(TEXT(Assumptions!B52,"MM/DD/YYYY")),0)&lt;=DATE(2031,6,30)),1,0)+IF(AND(Assumptions!B53&lt;&gt;"",IFERROR(DATEVALUE(TEXT(Assumptions!B53,"MM/DD/YYYY")),0)&gt;=DATE(2031,6,1),IFERROR(DATEVALUE(TEXT(Assumptions!B53,"MM/DD/YYYY")),0)&lt;=DATE(2031,6,30)),1,0)+IF(AND(Assumptions!B54&lt;&gt;"",IFERROR(DATEVALUE(TEXT(Assumptions!B54,"MM/DD/YYYY")),0)&gt;=DATE(2031,6,1),IFERROR(DATEVALUE(TEXT(Assumptions!B54,"MM/DD/YYYY")),0)&lt;=DATE(2031,6,30)),1,0)+IF(AND(Assumptions!B55&lt;&gt;"",IFERROR(DATEVALUE(TEXT(Assumptions!B55,"MM/DD/YYYY")),0)&gt;=DATE(2031,6,1),IFERROR(DATEVALUE(TEXT(Assumptions!B55,"MM/DD/YYYY")),0)&lt;=DATE(2031,6,30)),1,0)+IF(AND(Assumptions!B56&lt;&gt;"",IFERROR(DATEVALUE(TEXT(Assumptions!B56,"MM/DD/YYYY")),0)&gt;=DATE(2031,6,1),IFERROR(DATEVALUE(TEXT(Assumptions!B56,"MM/DD/YYYY")),0)&lt;=DATE(2031,6,30)),1,0)+IF(AND(Assumptions!B57&lt;&gt;"",IFERROR(DATEVALUE(TEXT(Assumptions!B57,"MM/DD/YYYY")),0)&gt;=DATE(2031,6,1),IFERROR(DATEVALUE(TEXT(Assumptions!B57,"MM/DD/YYYY")),0)&lt;=DATE(2031,6,30)),1,0)+IF(AND(Assumptions!B58&lt;&gt;"",IFERROR(DATEVALUE(TEXT(Assumptions!B58,"MM/DD/YYYY")),0)&gt;=DATE(2031,6,1),IFERROR(DATEVALUE(TEXT(Assumptions!B58,"MM/DD/YYYY")),0)&lt;=DATE(2031,6,30)),1,0)+IF(AND(Assumptions!B59&lt;&gt;"",IFERROR(DATEVALUE(TEXT(Assumptions!B59,"MM/DD/YYYY")),0)&gt;=DATE(2031,6,1),IFERROR(DATEVALUE(TEXT(Assumptions!B59,"MM/DD/YYYY")),0)&lt;=DATE(2031,6,30)),1,0)+IF(AND(Assumptions!B60&lt;&gt;"",IFERROR(DATEVALUE(TEXT(Assumptions!B60,"MM/DD/YYYY")),0)&gt;=DATE(2031,6,1),IFERROR(DATEVALUE(TEXT(Assumptions!B60,"MM/DD/YYYY")),0)&lt;=DATE(2031,6,30)),1,0))&gt;0,0,-('Working Capital'!BG8-'Working Capital'!BF8))</f>
        <v/>
      </c>
      <c r="BH11" s="156">
        <f>IF((IF(AND(Assumptions!B51&lt;&gt;"",IFERROR(DATEVALUE(TEXT(Assumptions!B51,"MM/DD/YYYY")),0)&gt;=DATE(2031,7,1),IFERROR(DATEVALUE(TEXT(Assumptions!B51,"MM/DD/YYYY")),0)&lt;=DATE(2031,7,31)),1,0)+IF(AND(Assumptions!B52&lt;&gt;"",IFERROR(DATEVALUE(TEXT(Assumptions!B52,"MM/DD/YYYY")),0)&gt;=DATE(2031,7,1),IFERROR(DATEVALUE(TEXT(Assumptions!B52,"MM/DD/YYYY")),0)&lt;=DATE(2031,7,31)),1,0)+IF(AND(Assumptions!B53&lt;&gt;"",IFERROR(DATEVALUE(TEXT(Assumptions!B53,"MM/DD/YYYY")),0)&gt;=DATE(2031,7,1),IFERROR(DATEVALUE(TEXT(Assumptions!B53,"MM/DD/YYYY")),0)&lt;=DATE(2031,7,31)),1,0)+IF(AND(Assumptions!B54&lt;&gt;"",IFERROR(DATEVALUE(TEXT(Assumptions!B54,"MM/DD/YYYY")),0)&gt;=DATE(2031,7,1),IFERROR(DATEVALUE(TEXT(Assumptions!B54,"MM/DD/YYYY")),0)&lt;=DATE(2031,7,31)),1,0)+IF(AND(Assumptions!B55&lt;&gt;"",IFERROR(DATEVALUE(TEXT(Assumptions!B55,"MM/DD/YYYY")),0)&gt;=DATE(2031,7,1),IFERROR(DATEVALUE(TEXT(Assumptions!B55,"MM/DD/YYYY")),0)&lt;=DATE(2031,7,31)),1,0)+IF(AND(Assumptions!B56&lt;&gt;"",IFERROR(DATEVALUE(TEXT(Assumptions!B56,"MM/DD/YYYY")),0)&gt;=DATE(2031,7,1),IFERROR(DATEVALUE(TEXT(Assumptions!B56,"MM/DD/YYYY")),0)&lt;=DATE(2031,7,31)),1,0)+IF(AND(Assumptions!B57&lt;&gt;"",IFERROR(DATEVALUE(TEXT(Assumptions!B57,"MM/DD/YYYY")),0)&gt;=DATE(2031,7,1),IFERROR(DATEVALUE(TEXT(Assumptions!B57,"MM/DD/YYYY")),0)&lt;=DATE(2031,7,31)),1,0)+IF(AND(Assumptions!B58&lt;&gt;"",IFERROR(DATEVALUE(TEXT(Assumptions!B58,"MM/DD/YYYY")),0)&gt;=DATE(2031,7,1),IFERROR(DATEVALUE(TEXT(Assumptions!B58,"MM/DD/YYYY")),0)&lt;=DATE(2031,7,31)),1,0)+IF(AND(Assumptions!B59&lt;&gt;"",IFERROR(DATEVALUE(TEXT(Assumptions!B59,"MM/DD/YYYY")),0)&gt;=DATE(2031,7,1),IFERROR(DATEVALUE(TEXT(Assumptions!B59,"MM/DD/YYYY")),0)&lt;=DATE(2031,7,31)),1,0)+IF(AND(Assumptions!B60&lt;&gt;"",IFERROR(DATEVALUE(TEXT(Assumptions!B60,"MM/DD/YYYY")),0)&gt;=DATE(2031,7,1),IFERROR(DATEVALUE(TEXT(Assumptions!B60,"MM/DD/YYYY")),0)&lt;=DATE(2031,7,31)),1,0))&gt;0,0,-('Working Capital'!BH8-'Working Capital'!BG8))</f>
        <v/>
      </c>
      <c r="BI11" s="156">
        <f>IF((IF(AND(Assumptions!B51&lt;&gt;"",IFERROR(DATEVALUE(TEXT(Assumptions!B51,"MM/DD/YYYY")),0)&gt;=DATE(2031,8,1),IFERROR(DATEVALUE(TEXT(Assumptions!B51,"MM/DD/YYYY")),0)&lt;=DATE(2031,8,31)),1,0)+IF(AND(Assumptions!B52&lt;&gt;"",IFERROR(DATEVALUE(TEXT(Assumptions!B52,"MM/DD/YYYY")),0)&gt;=DATE(2031,8,1),IFERROR(DATEVALUE(TEXT(Assumptions!B52,"MM/DD/YYYY")),0)&lt;=DATE(2031,8,31)),1,0)+IF(AND(Assumptions!B53&lt;&gt;"",IFERROR(DATEVALUE(TEXT(Assumptions!B53,"MM/DD/YYYY")),0)&gt;=DATE(2031,8,1),IFERROR(DATEVALUE(TEXT(Assumptions!B53,"MM/DD/YYYY")),0)&lt;=DATE(2031,8,31)),1,0)+IF(AND(Assumptions!B54&lt;&gt;"",IFERROR(DATEVALUE(TEXT(Assumptions!B54,"MM/DD/YYYY")),0)&gt;=DATE(2031,8,1),IFERROR(DATEVALUE(TEXT(Assumptions!B54,"MM/DD/YYYY")),0)&lt;=DATE(2031,8,31)),1,0)+IF(AND(Assumptions!B55&lt;&gt;"",IFERROR(DATEVALUE(TEXT(Assumptions!B55,"MM/DD/YYYY")),0)&gt;=DATE(2031,8,1),IFERROR(DATEVALUE(TEXT(Assumptions!B55,"MM/DD/YYYY")),0)&lt;=DATE(2031,8,31)),1,0)+IF(AND(Assumptions!B56&lt;&gt;"",IFERROR(DATEVALUE(TEXT(Assumptions!B56,"MM/DD/YYYY")),0)&gt;=DATE(2031,8,1),IFERROR(DATEVALUE(TEXT(Assumptions!B56,"MM/DD/YYYY")),0)&lt;=DATE(2031,8,31)),1,0)+IF(AND(Assumptions!B57&lt;&gt;"",IFERROR(DATEVALUE(TEXT(Assumptions!B57,"MM/DD/YYYY")),0)&gt;=DATE(2031,8,1),IFERROR(DATEVALUE(TEXT(Assumptions!B57,"MM/DD/YYYY")),0)&lt;=DATE(2031,8,31)),1,0)+IF(AND(Assumptions!B58&lt;&gt;"",IFERROR(DATEVALUE(TEXT(Assumptions!B58,"MM/DD/YYYY")),0)&gt;=DATE(2031,8,1),IFERROR(DATEVALUE(TEXT(Assumptions!B58,"MM/DD/YYYY")),0)&lt;=DATE(2031,8,31)),1,0)+IF(AND(Assumptions!B59&lt;&gt;"",IFERROR(DATEVALUE(TEXT(Assumptions!B59,"MM/DD/YYYY")),0)&gt;=DATE(2031,8,1),IFERROR(DATEVALUE(TEXT(Assumptions!B59,"MM/DD/YYYY")),0)&lt;=DATE(2031,8,31)),1,0)+IF(AND(Assumptions!B60&lt;&gt;"",IFERROR(DATEVALUE(TEXT(Assumptions!B60,"MM/DD/YYYY")),0)&gt;=DATE(2031,8,1),IFERROR(DATEVALUE(TEXT(Assumptions!B60,"MM/DD/YYYY")),0)&lt;=DATE(2031,8,31)),1,0))&gt;0,0,-('Working Capital'!BI8-'Working Capital'!BH8))</f>
        <v/>
      </c>
      <c r="BJ11" s="156">
        <f>IF((IF(AND(Assumptions!B51&lt;&gt;"",IFERROR(DATEVALUE(TEXT(Assumptions!B51,"MM/DD/YYYY")),0)&gt;=DATE(2031,9,1),IFERROR(DATEVALUE(TEXT(Assumptions!B51,"MM/DD/YYYY")),0)&lt;=DATE(2031,9,30)),1,0)+IF(AND(Assumptions!B52&lt;&gt;"",IFERROR(DATEVALUE(TEXT(Assumptions!B52,"MM/DD/YYYY")),0)&gt;=DATE(2031,9,1),IFERROR(DATEVALUE(TEXT(Assumptions!B52,"MM/DD/YYYY")),0)&lt;=DATE(2031,9,30)),1,0)+IF(AND(Assumptions!B53&lt;&gt;"",IFERROR(DATEVALUE(TEXT(Assumptions!B53,"MM/DD/YYYY")),0)&gt;=DATE(2031,9,1),IFERROR(DATEVALUE(TEXT(Assumptions!B53,"MM/DD/YYYY")),0)&lt;=DATE(2031,9,30)),1,0)+IF(AND(Assumptions!B54&lt;&gt;"",IFERROR(DATEVALUE(TEXT(Assumptions!B54,"MM/DD/YYYY")),0)&gt;=DATE(2031,9,1),IFERROR(DATEVALUE(TEXT(Assumptions!B54,"MM/DD/YYYY")),0)&lt;=DATE(2031,9,30)),1,0)+IF(AND(Assumptions!B55&lt;&gt;"",IFERROR(DATEVALUE(TEXT(Assumptions!B55,"MM/DD/YYYY")),0)&gt;=DATE(2031,9,1),IFERROR(DATEVALUE(TEXT(Assumptions!B55,"MM/DD/YYYY")),0)&lt;=DATE(2031,9,30)),1,0)+IF(AND(Assumptions!B56&lt;&gt;"",IFERROR(DATEVALUE(TEXT(Assumptions!B56,"MM/DD/YYYY")),0)&gt;=DATE(2031,9,1),IFERROR(DATEVALUE(TEXT(Assumptions!B56,"MM/DD/YYYY")),0)&lt;=DATE(2031,9,30)),1,0)+IF(AND(Assumptions!B57&lt;&gt;"",IFERROR(DATEVALUE(TEXT(Assumptions!B57,"MM/DD/YYYY")),0)&gt;=DATE(2031,9,1),IFERROR(DATEVALUE(TEXT(Assumptions!B57,"MM/DD/YYYY")),0)&lt;=DATE(2031,9,30)),1,0)+IF(AND(Assumptions!B58&lt;&gt;"",IFERROR(DATEVALUE(TEXT(Assumptions!B58,"MM/DD/YYYY")),0)&gt;=DATE(2031,9,1),IFERROR(DATEVALUE(TEXT(Assumptions!B58,"MM/DD/YYYY")),0)&lt;=DATE(2031,9,30)),1,0)+IF(AND(Assumptions!B59&lt;&gt;"",IFERROR(DATEVALUE(TEXT(Assumptions!B59,"MM/DD/YYYY")),0)&gt;=DATE(2031,9,1),IFERROR(DATEVALUE(TEXT(Assumptions!B59,"MM/DD/YYYY")),0)&lt;=DATE(2031,9,30)),1,0)+IF(AND(Assumptions!B60&lt;&gt;"",IFERROR(DATEVALUE(TEXT(Assumptions!B60,"MM/DD/YYYY")),0)&gt;=DATE(2031,9,1),IFERROR(DATEVALUE(TEXT(Assumptions!B60,"MM/DD/YYYY")),0)&lt;=DATE(2031,9,30)),1,0))&gt;0,0,-('Working Capital'!BJ8-'Working Capital'!BI8))</f>
        <v/>
      </c>
      <c r="BL11" s="157">
        <f>C11+D11+E11+F11+G11+H11+I11+J11+K11+L11+M11+N11</f>
        <v/>
      </c>
      <c r="BM11" s="157">
        <f>O11+P11+Q11+R11+S11+T11+U11+V11+W11+X11+Y11+Z11</f>
        <v/>
      </c>
      <c r="BN11" s="157">
        <f>AA11+AB11+AC11+AD11+AE11+AF11+AG11+AH11+AI11+AJ11+AK11+AL11</f>
        <v/>
      </c>
      <c r="BO11" s="157">
        <f>AM11+AN11+AO11+AP11+AQ11+AR11+AS11+AT11+AU11+AV11+AW11+AX11</f>
        <v/>
      </c>
      <c r="BP11" s="157">
        <f>AY11+AZ11+BA11+BB11+BC11+BD11+BE11+BF11+BG11+BH11+BI11+BJ11</f>
        <v/>
      </c>
    </row>
    <row r="12" ht="15" customHeight="1" s="104">
      <c r="A12" s="107" t="inlineStr">
        <is>
          <t xml:space="preserve">        Increase / (Decrease) in Accounts Payable</t>
        </is>
      </c>
      <c r="C12" s="156">
        <f>0</f>
        <v/>
      </c>
      <c r="D12" s="156">
        <f>IF((IF(AND(Assumptions!B51&lt;&gt;"",IFERROR(DATEVALUE(TEXT(Assumptions!B51,"MM/DD/YYYY")),0)&gt;=DATE(2026,11,1),IFERROR(DATEVALUE(TEXT(Assumptions!B51,"MM/DD/YYYY")),0)&lt;=DATE(2026,11,30)),1,0)+IF(AND(Assumptions!B52&lt;&gt;"",IFERROR(DATEVALUE(TEXT(Assumptions!B52,"MM/DD/YYYY")),0)&gt;=DATE(2026,11,1),IFERROR(DATEVALUE(TEXT(Assumptions!B52,"MM/DD/YYYY")),0)&lt;=DATE(2026,11,30)),1,0)+IF(AND(Assumptions!B53&lt;&gt;"",IFERROR(DATEVALUE(TEXT(Assumptions!B53,"MM/DD/YYYY")),0)&gt;=DATE(2026,11,1),IFERROR(DATEVALUE(TEXT(Assumptions!B53,"MM/DD/YYYY")),0)&lt;=DATE(2026,11,30)),1,0)+IF(AND(Assumptions!B54&lt;&gt;"",IFERROR(DATEVALUE(TEXT(Assumptions!B54,"MM/DD/YYYY")),0)&gt;=DATE(2026,11,1),IFERROR(DATEVALUE(TEXT(Assumptions!B54,"MM/DD/YYYY")),0)&lt;=DATE(2026,11,30)),1,0)+IF(AND(Assumptions!B55&lt;&gt;"",IFERROR(DATEVALUE(TEXT(Assumptions!B55,"MM/DD/YYYY")),0)&gt;=DATE(2026,11,1),IFERROR(DATEVALUE(TEXT(Assumptions!B55,"MM/DD/YYYY")),0)&lt;=DATE(2026,11,30)),1,0)+IF(AND(Assumptions!B56&lt;&gt;"",IFERROR(DATEVALUE(TEXT(Assumptions!B56,"MM/DD/YYYY")),0)&gt;=DATE(2026,11,1),IFERROR(DATEVALUE(TEXT(Assumptions!B56,"MM/DD/YYYY")),0)&lt;=DATE(2026,11,30)),1,0)+IF(AND(Assumptions!B57&lt;&gt;"",IFERROR(DATEVALUE(TEXT(Assumptions!B57,"MM/DD/YYYY")),0)&gt;=DATE(2026,11,1),IFERROR(DATEVALUE(TEXT(Assumptions!B57,"MM/DD/YYYY")),0)&lt;=DATE(2026,11,30)),1,0)+IF(AND(Assumptions!B58&lt;&gt;"",IFERROR(DATEVALUE(TEXT(Assumptions!B58,"MM/DD/YYYY")),0)&gt;=DATE(2026,11,1),IFERROR(DATEVALUE(TEXT(Assumptions!B58,"MM/DD/YYYY")),0)&lt;=DATE(2026,11,30)),1,0)+IF(AND(Assumptions!B59&lt;&gt;"",IFERROR(DATEVALUE(TEXT(Assumptions!B59,"MM/DD/YYYY")),0)&gt;=DATE(2026,11,1),IFERROR(DATEVALUE(TEXT(Assumptions!B59,"MM/DD/YYYY")),0)&lt;=DATE(2026,11,30)),1,0)+IF(AND(Assumptions!B60&lt;&gt;"",IFERROR(DATEVALUE(TEXT(Assumptions!B60,"MM/DD/YYYY")),0)&gt;=DATE(2026,11,1),IFERROR(DATEVALUE(TEXT(Assumptions!B60,"MM/DD/YYYY")),0)&lt;=DATE(2026,11,30)),1,0))&gt;0,0,'Working Capital'!D13-'Working Capital'!C13)</f>
        <v/>
      </c>
      <c r="E12" s="156">
        <f>IF((IF(AND(Assumptions!B51&lt;&gt;"",IFERROR(DATEVALUE(TEXT(Assumptions!B51,"MM/DD/YYYY")),0)&gt;=DATE(2026,12,1),IFERROR(DATEVALUE(TEXT(Assumptions!B51,"MM/DD/YYYY")),0)&lt;=DATE(2026,12,31)),1,0)+IF(AND(Assumptions!B52&lt;&gt;"",IFERROR(DATEVALUE(TEXT(Assumptions!B52,"MM/DD/YYYY")),0)&gt;=DATE(2026,12,1),IFERROR(DATEVALUE(TEXT(Assumptions!B52,"MM/DD/YYYY")),0)&lt;=DATE(2026,12,31)),1,0)+IF(AND(Assumptions!B53&lt;&gt;"",IFERROR(DATEVALUE(TEXT(Assumptions!B53,"MM/DD/YYYY")),0)&gt;=DATE(2026,12,1),IFERROR(DATEVALUE(TEXT(Assumptions!B53,"MM/DD/YYYY")),0)&lt;=DATE(2026,12,31)),1,0)+IF(AND(Assumptions!B54&lt;&gt;"",IFERROR(DATEVALUE(TEXT(Assumptions!B54,"MM/DD/YYYY")),0)&gt;=DATE(2026,12,1),IFERROR(DATEVALUE(TEXT(Assumptions!B54,"MM/DD/YYYY")),0)&lt;=DATE(2026,12,31)),1,0)+IF(AND(Assumptions!B55&lt;&gt;"",IFERROR(DATEVALUE(TEXT(Assumptions!B55,"MM/DD/YYYY")),0)&gt;=DATE(2026,12,1),IFERROR(DATEVALUE(TEXT(Assumptions!B55,"MM/DD/YYYY")),0)&lt;=DATE(2026,12,31)),1,0)+IF(AND(Assumptions!B56&lt;&gt;"",IFERROR(DATEVALUE(TEXT(Assumptions!B56,"MM/DD/YYYY")),0)&gt;=DATE(2026,12,1),IFERROR(DATEVALUE(TEXT(Assumptions!B56,"MM/DD/YYYY")),0)&lt;=DATE(2026,12,31)),1,0)+IF(AND(Assumptions!B57&lt;&gt;"",IFERROR(DATEVALUE(TEXT(Assumptions!B57,"MM/DD/YYYY")),0)&gt;=DATE(2026,12,1),IFERROR(DATEVALUE(TEXT(Assumptions!B57,"MM/DD/YYYY")),0)&lt;=DATE(2026,12,31)),1,0)+IF(AND(Assumptions!B58&lt;&gt;"",IFERROR(DATEVALUE(TEXT(Assumptions!B58,"MM/DD/YYYY")),0)&gt;=DATE(2026,12,1),IFERROR(DATEVALUE(TEXT(Assumptions!B58,"MM/DD/YYYY")),0)&lt;=DATE(2026,12,31)),1,0)+IF(AND(Assumptions!B59&lt;&gt;"",IFERROR(DATEVALUE(TEXT(Assumptions!B59,"MM/DD/YYYY")),0)&gt;=DATE(2026,12,1),IFERROR(DATEVALUE(TEXT(Assumptions!B59,"MM/DD/YYYY")),0)&lt;=DATE(2026,12,31)),1,0)+IF(AND(Assumptions!B60&lt;&gt;"",IFERROR(DATEVALUE(TEXT(Assumptions!B60,"MM/DD/YYYY")),0)&gt;=DATE(2026,12,1),IFERROR(DATEVALUE(TEXT(Assumptions!B60,"MM/DD/YYYY")),0)&lt;=DATE(2026,12,31)),1,0))&gt;0,0,'Working Capital'!E13-'Working Capital'!D13)</f>
        <v/>
      </c>
      <c r="F12" s="156">
        <f>IF((IF(AND(Assumptions!B51&lt;&gt;"",IFERROR(DATEVALUE(TEXT(Assumptions!B51,"MM/DD/YYYY")),0)&gt;=DATE(2027,1,1),IFERROR(DATEVALUE(TEXT(Assumptions!B51,"MM/DD/YYYY")),0)&lt;=DATE(2027,1,31)),1,0)+IF(AND(Assumptions!B52&lt;&gt;"",IFERROR(DATEVALUE(TEXT(Assumptions!B52,"MM/DD/YYYY")),0)&gt;=DATE(2027,1,1),IFERROR(DATEVALUE(TEXT(Assumptions!B52,"MM/DD/YYYY")),0)&lt;=DATE(2027,1,31)),1,0)+IF(AND(Assumptions!B53&lt;&gt;"",IFERROR(DATEVALUE(TEXT(Assumptions!B53,"MM/DD/YYYY")),0)&gt;=DATE(2027,1,1),IFERROR(DATEVALUE(TEXT(Assumptions!B53,"MM/DD/YYYY")),0)&lt;=DATE(2027,1,31)),1,0)+IF(AND(Assumptions!B54&lt;&gt;"",IFERROR(DATEVALUE(TEXT(Assumptions!B54,"MM/DD/YYYY")),0)&gt;=DATE(2027,1,1),IFERROR(DATEVALUE(TEXT(Assumptions!B54,"MM/DD/YYYY")),0)&lt;=DATE(2027,1,31)),1,0)+IF(AND(Assumptions!B55&lt;&gt;"",IFERROR(DATEVALUE(TEXT(Assumptions!B55,"MM/DD/YYYY")),0)&gt;=DATE(2027,1,1),IFERROR(DATEVALUE(TEXT(Assumptions!B55,"MM/DD/YYYY")),0)&lt;=DATE(2027,1,31)),1,0)+IF(AND(Assumptions!B56&lt;&gt;"",IFERROR(DATEVALUE(TEXT(Assumptions!B56,"MM/DD/YYYY")),0)&gt;=DATE(2027,1,1),IFERROR(DATEVALUE(TEXT(Assumptions!B56,"MM/DD/YYYY")),0)&lt;=DATE(2027,1,31)),1,0)+IF(AND(Assumptions!B57&lt;&gt;"",IFERROR(DATEVALUE(TEXT(Assumptions!B57,"MM/DD/YYYY")),0)&gt;=DATE(2027,1,1),IFERROR(DATEVALUE(TEXT(Assumptions!B57,"MM/DD/YYYY")),0)&lt;=DATE(2027,1,31)),1,0)+IF(AND(Assumptions!B58&lt;&gt;"",IFERROR(DATEVALUE(TEXT(Assumptions!B58,"MM/DD/YYYY")),0)&gt;=DATE(2027,1,1),IFERROR(DATEVALUE(TEXT(Assumptions!B58,"MM/DD/YYYY")),0)&lt;=DATE(2027,1,31)),1,0)+IF(AND(Assumptions!B59&lt;&gt;"",IFERROR(DATEVALUE(TEXT(Assumptions!B59,"MM/DD/YYYY")),0)&gt;=DATE(2027,1,1),IFERROR(DATEVALUE(TEXT(Assumptions!B59,"MM/DD/YYYY")),0)&lt;=DATE(2027,1,31)),1,0)+IF(AND(Assumptions!B60&lt;&gt;"",IFERROR(DATEVALUE(TEXT(Assumptions!B60,"MM/DD/YYYY")),0)&gt;=DATE(2027,1,1),IFERROR(DATEVALUE(TEXT(Assumptions!B60,"MM/DD/YYYY")),0)&lt;=DATE(2027,1,31)),1,0))&gt;0,0,'Working Capital'!F13-'Working Capital'!E13)</f>
        <v/>
      </c>
      <c r="G12" s="156">
        <f>IF((IF(AND(Assumptions!B51&lt;&gt;"",IFERROR(DATEVALUE(TEXT(Assumptions!B51,"MM/DD/YYYY")),0)&gt;=DATE(2027,2,1),IFERROR(DATEVALUE(TEXT(Assumptions!B51,"MM/DD/YYYY")),0)&lt;=DATE(2027,2,28)),1,0)+IF(AND(Assumptions!B52&lt;&gt;"",IFERROR(DATEVALUE(TEXT(Assumptions!B52,"MM/DD/YYYY")),0)&gt;=DATE(2027,2,1),IFERROR(DATEVALUE(TEXT(Assumptions!B52,"MM/DD/YYYY")),0)&lt;=DATE(2027,2,28)),1,0)+IF(AND(Assumptions!B53&lt;&gt;"",IFERROR(DATEVALUE(TEXT(Assumptions!B53,"MM/DD/YYYY")),0)&gt;=DATE(2027,2,1),IFERROR(DATEVALUE(TEXT(Assumptions!B53,"MM/DD/YYYY")),0)&lt;=DATE(2027,2,28)),1,0)+IF(AND(Assumptions!B54&lt;&gt;"",IFERROR(DATEVALUE(TEXT(Assumptions!B54,"MM/DD/YYYY")),0)&gt;=DATE(2027,2,1),IFERROR(DATEVALUE(TEXT(Assumptions!B54,"MM/DD/YYYY")),0)&lt;=DATE(2027,2,28)),1,0)+IF(AND(Assumptions!B55&lt;&gt;"",IFERROR(DATEVALUE(TEXT(Assumptions!B55,"MM/DD/YYYY")),0)&gt;=DATE(2027,2,1),IFERROR(DATEVALUE(TEXT(Assumptions!B55,"MM/DD/YYYY")),0)&lt;=DATE(2027,2,28)),1,0)+IF(AND(Assumptions!B56&lt;&gt;"",IFERROR(DATEVALUE(TEXT(Assumptions!B56,"MM/DD/YYYY")),0)&gt;=DATE(2027,2,1),IFERROR(DATEVALUE(TEXT(Assumptions!B56,"MM/DD/YYYY")),0)&lt;=DATE(2027,2,28)),1,0)+IF(AND(Assumptions!B57&lt;&gt;"",IFERROR(DATEVALUE(TEXT(Assumptions!B57,"MM/DD/YYYY")),0)&gt;=DATE(2027,2,1),IFERROR(DATEVALUE(TEXT(Assumptions!B57,"MM/DD/YYYY")),0)&lt;=DATE(2027,2,28)),1,0)+IF(AND(Assumptions!B58&lt;&gt;"",IFERROR(DATEVALUE(TEXT(Assumptions!B58,"MM/DD/YYYY")),0)&gt;=DATE(2027,2,1),IFERROR(DATEVALUE(TEXT(Assumptions!B58,"MM/DD/YYYY")),0)&lt;=DATE(2027,2,28)),1,0)+IF(AND(Assumptions!B59&lt;&gt;"",IFERROR(DATEVALUE(TEXT(Assumptions!B59,"MM/DD/YYYY")),0)&gt;=DATE(2027,2,1),IFERROR(DATEVALUE(TEXT(Assumptions!B59,"MM/DD/YYYY")),0)&lt;=DATE(2027,2,28)),1,0)+IF(AND(Assumptions!B60&lt;&gt;"",IFERROR(DATEVALUE(TEXT(Assumptions!B60,"MM/DD/YYYY")),0)&gt;=DATE(2027,2,1),IFERROR(DATEVALUE(TEXT(Assumptions!B60,"MM/DD/YYYY")),0)&lt;=DATE(2027,2,28)),1,0))&gt;0,0,'Working Capital'!G13-'Working Capital'!F13)</f>
        <v/>
      </c>
      <c r="H12" s="156">
        <f>IF((IF(AND(Assumptions!B51&lt;&gt;"",IFERROR(DATEVALUE(TEXT(Assumptions!B51,"MM/DD/YYYY")),0)&gt;=DATE(2027,3,1),IFERROR(DATEVALUE(TEXT(Assumptions!B51,"MM/DD/YYYY")),0)&lt;=DATE(2027,3,31)),1,0)+IF(AND(Assumptions!B52&lt;&gt;"",IFERROR(DATEVALUE(TEXT(Assumptions!B52,"MM/DD/YYYY")),0)&gt;=DATE(2027,3,1),IFERROR(DATEVALUE(TEXT(Assumptions!B52,"MM/DD/YYYY")),0)&lt;=DATE(2027,3,31)),1,0)+IF(AND(Assumptions!B53&lt;&gt;"",IFERROR(DATEVALUE(TEXT(Assumptions!B53,"MM/DD/YYYY")),0)&gt;=DATE(2027,3,1),IFERROR(DATEVALUE(TEXT(Assumptions!B53,"MM/DD/YYYY")),0)&lt;=DATE(2027,3,31)),1,0)+IF(AND(Assumptions!B54&lt;&gt;"",IFERROR(DATEVALUE(TEXT(Assumptions!B54,"MM/DD/YYYY")),0)&gt;=DATE(2027,3,1),IFERROR(DATEVALUE(TEXT(Assumptions!B54,"MM/DD/YYYY")),0)&lt;=DATE(2027,3,31)),1,0)+IF(AND(Assumptions!B55&lt;&gt;"",IFERROR(DATEVALUE(TEXT(Assumptions!B55,"MM/DD/YYYY")),0)&gt;=DATE(2027,3,1),IFERROR(DATEVALUE(TEXT(Assumptions!B55,"MM/DD/YYYY")),0)&lt;=DATE(2027,3,31)),1,0)+IF(AND(Assumptions!B56&lt;&gt;"",IFERROR(DATEVALUE(TEXT(Assumptions!B56,"MM/DD/YYYY")),0)&gt;=DATE(2027,3,1),IFERROR(DATEVALUE(TEXT(Assumptions!B56,"MM/DD/YYYY")),0)&lt;=DATE(2027,3,31)),1,0)+IF(AND(Assumptions!B57&lt;&gt;"",IFERROR(DATEVALUE(TEXT(Assumptions!B57,"MM/DD/YYYY")),0)&gt;=DATE(2027,3,1),IFERROR(DATEVALUE(TEXT(Assumptions!B57,"MM/DD/YYYY")),0)&lt;=DATE(2027,3,31)),1,0)+IF(AND(Assumptions!B58&lt;&gt;"",IFERROR(DATEVALUE(TEXT(Assumptions!B58,"MM/DD/YYYY")),0)&gt;=DATE(2027,3,1),IFERROR(DATEVALUE(TEXT(Assumptions!B58,"MM/DD/YYYY")),0)&lt;=DATE(2027,3,31)),1,0)+IF(AND(Assumptions!B59&lt;&gt;"",IFERROR(DATEVALUE(TEXT(Assumptions!B59,"MM/DD/YYYY")),0)&gt;=DATE(2027,3,1),IFERROR(DATEVALUE(TEXT(Assumptions!B59,"MM/DD/YYYY")),0)&lt;=DATE(2027,3,31)),1,0)+IF(AND(Assumptions!B60&lt;&gt;"",IFERROR(DATEVALUE(TEXT(Assumptions!B60,"MM/DD/YYYY")),0)&gt;=DATE(2027,3,1),IFERROR(DATEVALUE(TEXT(Assumptions!B60,"MM/DD/YYYY")),0)&lt;=DATE(2027,3,31)),1,0))&gt;0,0,'Working Capital'!H13-'Working Capital'!G13)</f>
        <v/>
      </c>
      <c r="I12" s="156">
        <f>IF((IF(AND(Assumptions!B51&lt;&gt;"",IFERROR(DATEVALUE(TEXT(Assumptions!B51,"MM/DD/YYYY")),0)&gt;=DATE(2027,4,1),IFERROR(DATEVALUE(TEXT(Assumptions!B51,"MM/DD/YYYY")),0)&lt;=DATE(2027,4,30)),1,0)+IF(AND(Assumptions!B52&lt;&gt;"",IFERROR(DATEVALUE(TEXT(Assumptions!B52,"MM/DD/YYYY")),0)&gt;=DATE(2027,4,1),IFERROR(DATEVALUE(TEXT(Assumptions!B52,"MM/DD/YYYY")),0)&lt;=DATE(2027,4,30)),1,0)+IF(AND(Assumptions!B53&lt;&gt;"",IFERROR(DATEVALUE(TEXT(Assumptions!B53,"MM/DD/YYYY")),0)&gt;=DATE(2027,4,1),IFERROR(DATEVALUE(TEXT(Assumptions!B53,"MM/DD/YYYY")),0)&lt;=DATE(2027,4,30)),1,0)+IF(AND(Assumptions!B54&lt;&gt;"",IFERROR(DATEVALUE(TEXT(Assumptions!B54,"MM/DD/YYYY")),0)&gt;=DATE(2027,4,1),IFERROR(DATEVALUE(TEXT(Assumptions!B54,"MM/DD/YYYY")),0)&lt;=DATE(2027,4,30)),1,0)+IF(AND(Assumptions!B55&lt;&gt;"",IFERROR(DATEVALUE(TEXT(Assumptions!B55,"MM/DD/YYYY")),0)&gt;=DATE(2027,4,1),IFERROR(DATEVALUE(TEXT(Assumptions!B55,"MM/DD/YYYY")),0)&lt;=DATE(2027,4,30)),1,0)+IF(AND(Assumptions!B56&lt;&gt;"",IFERROR(DATEVALUE(TEXT(Assumptions!B56,"MM/DD/YYYY")),0)&gt;=DATE(2027,4,1),IFERROR(DATEVALUE(TEXT(Assumptions!B56,"MM/DD/YYYY")),0)&lt;=DATE(2027,4,30)),1,0)+IF(AND(Assumptions!B57&lt;&gt;"",IFERROR(DATEVALUE(TEXT(Assumptions!B57,"MM/DD/YYYY")),0)&gt;=DATE(2027,4,1),IFERROR(DATEVALUE(TEXT(Assumptions!B57,"MM/DD/YYYY")),0)&lt;=DATE(2027,4,30)),1,0)+IF(AND(Assumptions!B58&lt;&gt;"",IFERROR(DATEVALUE(TEXT(Assumptions!B58,"MM/DD/YYYY")),0)&gt;=DATE(2027,4,1),IFERROR(DATEVALUE(TEXT(Assumptions!B58,"MM/DD/YYYY")),0)&lt;=DATE(2027,4,30)),1,0)+IF(AND(Assumptions!B59&lt;&gt;"",IFERROR(DATEVALUE(TEXT(Assumptions!B59,"MM/DD/YYYY")),0)&gt;=DATE(2027,4,1),IFERROR(DATEVALUE(TEXT(Assumptions!B59,"MM/DD/YYYY")),0)&lt;=DATE(2027,4,30)),1,0)+IF(AND(Assumptions!B60&lt;&gt;"",IFERROR(DATEVALUE(TEXT(Assumptions!B60,"MM/DD/YYYY")),0)&gt;=DATE(2027,4,1),IFERROR(DATEVALUE(TEXT(Assumptions!B60,"MM/DD/YYYY")),0)&lt;=DATE(2027,4,30)),1,0))&gt;0,0,'Working Capital'!I13-'Working Capital'!H13)</f>
        <v/>
      </c>
      <c r="J12" s="156">
        <f>IF((IF(AND(Assumptions!B51&lt;&gt;"",IFERROR(DATEVALUE(TEXT(Assumptions!B51,"MM/DD/YYYY")),0)&gt;=DATE(2027,5,1),IFERROR(DATEVALUE(TEXT(Assumptions!B51,"MM/DD/YYYY")),0)&lt;=DATE(2027,5,31)),1,0)+IF(AND(Assumptions!B52&lt;&gt;"",IFERROR(DATEVALUE(TEXT(Assumptions!B52,"MM/DD/YYYY")),0)&gt;=DATE(2027,5,1),IFERROR(DATEVALUE(TEXT(Assumptions!B52,"MM/DD/YYYY")),0)&lt;=DATE(2027,5,31)),1,0)+IF(AND(Assumptions!B53&lt;&gt;"",IFERROR(DATEVALUE(TEXT(Assumptions!B53,"MM/DD/YYYY")),0)&gt;=DATE(2027,5,1),IFERROR(DATEVALUE(TEXT(Assumptions!B53,"MM/DD/YYYY")),0)&lt;=DATE(2027,5,31)),1,0)+IF(AND(Assumptions!B54&lt;&gt;"",IFERROR(DATEVALUE(TEXT(Assumptions!B54,"MM/DD/YYYY")),0)&gt;=DATE(2027,5,1),IFERROR(DATEVALUE(TEXT(Assumptions!B54,"MM/DD/YYYY")),0)&lt;=DATE(2027,5,31)),1,0)+IF(AND(Assumptions!B55&lt;&gt;"",IFERROR(DATEVALUE(TEXT(Assumptions!B55,"MM/DD/YYYY")),0)&gt;=DATE(2027,5,1),IFERROR(DATEVALUE(TEXT(Assumptions!B55,"MM/DD/YYYY")),0)&lt;=DATE(2027,5,31)),1,0)+IF(AND(Assumptions!B56&lt;&gt;"",IFERROR(DATEVALUE(TEXT(Assumptions!B56,"MM/DD/YYYY")),0)&gt;=DATE(2027,5,1),IFERROR(DATEVALUE(TEXT(Assumptions!B56,"MM/DD/YYYY")),0)&lt;=DATE(2027,5,31)),1,0)+IF(AND(Assumptions!B57&lt;&gt;"",IFERROR(DATEVALUE(TEXT(Assumptions!B57,"MM/DD/YYYY")),0)&gt;=DATE(2027,5,1),IFERROR(DATEVALUE(TEXT(Assumptions!B57,"MM/DD/YYYY")),0)&lt;=DATE(2027,5,31)),1,0)+IF(AND(Assumptions!B58&lt;&gt;"",IFERROR(DATEVALUE(TEXT(Assumptions!B58,"MM/DD/YYYY")),0)&gt;=DATE(2027,5,1),IFERROR(DATEVALUE(TEXT(Assumptions!B58,"MM/DD/YYYY")),0)&lt;=DATE(2027,5,31)),1,0)+IF(AND(Assumptions!B59&lt;&gt;"",IFERROR(DATEVALUE(TEXT(Assumptions!B59,"MM/DD/YYYY")),0)&gt;=DATE(2027,5,1),IFERROR(DATEVALUE(TEXT(Assumptions!B59,"MM/DD/YYYY")),0)&lt;=DATE(2027,5,31)),1,0)+IF(AND(Assumptions!B60&lt;&gt;"",IFERROR(DATEVALUE(TEXT(Assumptions!B60,"MM/DD/YYYY")),0)&gt;=DATE(2027,5,1),IFERROR(DATEVALUE(TEXT(Assumptions!B60,"MM/DD/YYYY")),0)&lt;=DATE(2027,5,31)),1,0))&gt;0,0,'Working Capital'!J13-'Working Capital'!I13)</f>
        <v/>
      </c>
      <c r="K12" s="156">
        <f>IF((IF(AND(Assumptions!B51&lt;&gt;"",IFERROR(DATEVALUE(TEXT(Assumptions!B51,"MM/DD/YYYY")),0)&gt;=DATE(2027,6,1),IFERROR(DATEVALUE(TEXT(Assumptions!B51,"MM/DD/YYYY")),0)&lt;=DATE(2027,6,30)),1,0)+IF(AND(Assumptions!B52&lt;&gt;"",IFERROR(DATEVALUE(TEXT(Assumptions!B52,"MM/DD/YYYY")),0)&gt;=DATE(2027,6,1),IFERROR(DATEVALUE(TEXT(Assumptions!B52,"MM/DD/YYYY")),0)&lt;=DATE(2027,6,30)),1,0)+IF(AND(Assumptions!B53&lt;&gt;"",IFERROR(DATEVALUE(TEXT(Assumptions!B53,"MM/DD/YYYY")),0)&gt;=DATE(2027,6,1),IFERROR(DATEVALUE(TEXT(Assumptions!B53,"MM/DD/YYYY")),0)&lt;=DATE(2027,6,30)),1,0)+IF(AND(Assumptions!B54&lt;&gt;"",IFERROR(DATEVALUE(TEXT(Assumptions!B54,"MM/DD/YYYY")),0)&gt;=DATE(2027,6,1),IFERROR(DATEVALUE(TEXT(Assumptions!B54,"MM/DD/YYYY")),0)&lt;=DATE(2027,6,30)),1,0)+IF(AND(Assumptions!B55&lt;&gt;"",IFERROR(DATEVALUE(TEXT(Assumptions!B55,"MM/DD/YYYY")),0)&gt;=DATE(2027,6,1),IFERROR(DATEVALUE(TEXT(Assumptions!B55,"MM/DD/YYYY")),0)&lt;=DATE(2027,6,30)),1,0)+IF(AND(Assumptions!B56&lt;&gt;"",IFERROR(DATEVALUE(TEXT(Assumptions!B56,"MM/DD/YYYY")),0)&gt;=DATE(2027,6,1),IFERROR(DATEVALUE(TEXT(Assumptions!B56,"MM/DD/YYYY")),0)&lt;=DATE(2027,6,30)),1,0)+IF(AND(Assumptions!B57&lt;&gt;"",IFERROR(DATEVALUE(TEXT(Assumptions!B57,"MM/DD/YYYY")),0)&gt;=DATE(2027,6,1),IFERROR(DATEVALUE(TEXT(Assumptions!B57,"MM/DD/YYYY")),0)&lt;=DATE(2027,6,30)),1,0)+IF(AND(Assumptions!B58&lt;&gt;"",IFERROR(DATEVALUE(TEXT(Assumptions!B58,"MM/DD/YYYY")),0)&gt;=DATE(2027,6,1),IFERROR(DATEVALUE(TEXT(Assumptions!B58,"MM/DD/YYYY")),0)&lt;=DATE(2027,6,30)),1,0)+IF(AND(Assumptions!B59&lt;&gt;"",IFERROR(DATEVALUE(TEXT(Assumptions!B59,"MM/DD/YYYY")),0)&gt;=DATE(2027,6,1),IFERROR(DATEVALUE(TEXT(Assumptions!B59,"MM/DD/YYYY")),0)&lt;=DATE(2027,6,30)),1,0)+IF(AND(Assumptions!B60&lt;&gt;"",IFERROR(DATEVALUE(TEXT(Assumptions!B60,"MM/DD/YYYY")),0)&gt;=DATE(2027,6,1),IFERROR(DATEVALUE(TEXT(Assumptions!B60,"MM/DD/YYYY")),0)&lt;=DATE(2027,6,30)),1,0))&gt;0,0,'Working Capital'!K13-'Working Capital'!J13)</f>
        <v/>
      </c>
      <c r="L12" s="156">
        <f>IF((IF(AND(Assumptions!B51&lt;&gt;"",IFERROR(DATEVALUE(TEXT(Assumptions!B51,"MM/DD/YYYY")),0)&gt;=DATE(2027,7,1),IFERROR(DATEVALUE(TEXT(Assumptions!B51,"MM/DD/YYYY")),0)&lt;=DATE(2027,7,31)),1,0)+IF(AND(Assumptions!B52&lt;&gt;"",IFERROR(DATEVALUE(TEXT(Assumptions!B52,"MM/DD/YYYY")),0)&gt;=DATE(2027,7,1),IFERROR(DATEVALUE(TEXT(Assumptions!B52,"MM/DD/YYYY")),0)&lt;=DATE(2027,7,31)),1,0)+IF(AND(Assumptions!B53&lt;&gt;"",IFERROR(DATEVALUE(TEXT(Assumptions!B53,"MM/DD/YYYY")),0)&gt;=DATE(2027,7,1),IFERROR(DATEVALUE(TEXT(Assumptions!B53,"MM/DD/YYYY")),0)&lt;=DATE(2027,7,31)),1,0)+IF(AND(Assumptions!B54&lt;&gt;"",IFERROR(DATEVALUE(TEXT(Assumptions!B54,"MM/DD/YYYY")),0)&gt;=DATE(2027,7,1),IFERROR(DATEVALUE(TEXT(Assumptions!B54,"MM/DD/YYYY")),0)&lt;=DATE(2027,7,31)),1,0)+IF(AND(Assumptions!B55&lt;&gt;"",IFERROR(DATEVALUE(TEXT(Assumptions!B55,"MM/DD/YYYY")),0)&gt;=DATE(2027,7,1),IFERROR(DATEVALUE(TEXT(Assumptions!B55,"MM/DD/YYYY")),0)&lt;=DATE(2027,7,31)),1,0)+IF(AND(Assumptions!B56&lt;&gt;"",IFERROR(DATEVALUE(TEXT(Assumptions!B56,"MM/DD/YYYY")),0)&gt;=DATE(2027,7,1),IFERROR(DATEVALUE(TEXT(Assumptions!B56,"MM/DD/YYYY")),0)&lt;=DATE(2027,7,31)),1,0)+IF(AND(Assumptions!B57&lt;&gt;"",IFERROR(DATEVALUE(TEXT(Assumptions!B57,"MM/DD/YYYY")),0)&gt;=DATE(2027,7,1),IFERROR(DATEVALUE(TEXT(Assumptions!B57,"MM/DD/YYYY")),0)&lt;=DATE(2027,7,31)),1,0)+IF(AND(Assumptions!B58&lt;&gt;"",IFERROR(DATEVALUE(TEXT(Assumptions!B58,"MM/DD/YYYY")),0)&gt;=DATE(2027,7,1),IFERROR(DATEVALUE(TEXT(Assumptions!B58,"MM/DD/YYYY")),0)&lt;=DATE(2027,7,31)),1,0)+IF(AND(Assumptions!B59&lt;&gt;"",IFERROR(DATEVALUE(TEXT(Assumptions!B59,"MM/DD/YYYY")),0)&gt;=DATE(2027,7,1),IFERROR(DATEVALUE(TEXT(Assumptions!B59,"MM/DD/YYYY")),0)&lt;=DATE(2027,7,31)),1,0)+IF(AND(Assumptions!B60&lt;&gt;"",IFERROR(DATEVALUE(TEXT(Assumptions!B60,"MM/DD/YYYY")),0)&gt;=DATE(2027,7,1),IFERROR(DATEVALUE(TEXT(Assumptions!B60,"MM/DD/YYYY")),0)&lt;=DATE(2027,7,31)),1,0))&gt;0,0,'Working Capital'!L13-'Working Capital'!K13)</f>
        <v/>
      </c>
      <c r="M12" s="156">
        <f>IF((IF(AND(Assumptions!B51&lt;&gt;"",IFERROR(DATEVALUE(TEXT(Assumptions!B51,"MM/DD/YYYY")),0)&gt;=DATE(2027,8,1),IFERROR(DATEVALUE(TEXT(Assumptions!B51,"MM/DD/YYYY")),0)&lt;=DATE(2027,8,31)),1,0)+IF(AND(Assumptions!B52&lt;&gt;"",IFERROR(DATEVALUE(TEXT(Assumptions!B52,"MM/DD/YYYY")),0)&gt;=DATE(2027,8,1),IFERROR(DATEVALUE(TEXT(Assumptions!B52,"MM/DD/YYYY")),0)&lt;=DATE(2027,8,31)),1,0)+IF(AND(Assumptions!B53&lt;&gt;"",IFERROR(DATEVALUE(TEXT(Assumptions!B53,"MM/DD/YYYY")),0)&gt;=DATE(2027,8,1),IFERROR(DATEVALUE(TEXT(Assumptions!B53,"MM/DD/YYYY")),0)&lt;=DATE(2027,8,31)),1,0)+IF(AND(Assumptions!B54&lt;&gt;"",IFERROR(DATEVALUE(TEXT(Assumptions!B54,"MM/DD/YYYY")),0)&gt;=DATE(2027,8,1),IFERROR(DATEVALUE(TEXT(Assumptions!B54,"MM/DD/YYYY")),0)&lt;=DATE(2027,8,31)),1,0)+IF(AND(Assumptions!B55&lt;&gt;"",IFERROR(DATEVALUE(TEXT(Assumptions!B55,"MM/DD/YYYY")),0)&gt;=DATE(2027,8,1),IFERROR(DATEVALUE(TEXT(Assumptions!B55,"MM/DD/YYYY")),0)&lt;=DATE(2027,8,31)),1,0)+IF(AND(Assumptions!B56&lt;&gt;"",IFERROR(DATEVALUE(TEXT(Assumptions!B56,"MM/DD/YYYY")),0)&gt;=DATE(2027,8,1),IFERROR(DATEVALUE(TEXT(Assumptions!B56,"MM/DD/YYYY")),0)&lt;=DATE(2027,8,31)),1,0)+IF(AND(Assumptions!B57&lt;&gt;"",IFERROR(DATEVALUE(TEXT(Assumptions!B57,"MM/DD/YYYY")),0)&gt;=DATE(2027,8,1),IFERROR(DATEVALUE(TEXT(Assumptions!B57,"MM/DD/YYYY")),0)&lt;=DATE(2027,8,31)),1,0)+IF(AND(Assumptions!B58&lt;&gt;"",IFERROR(DATEVALUE(TEXT(Assumptions!B58,"MM/DD/YYYY")),0)&gt;=DATE(2027,8,1),IFERROR(DATEVALUE(TEXT(Assumptions!B58,"MM/DD/YYYY")),0)&lt;=DATE(2027,8,31)),1,0)+IF(AND(Assumptions!B59&lt;&gt;"",IFERROR(DATEVALUE(TEXT(Assumptions!B59,"MM/DD/YYYY")),0)&gt;=DATE(2027,8,1),IFERROR(DATEVALUE(TEXT(Assumptions!B59,"MM/DD/YYYY")),0)&lt;=DATE(2027,8,31)),1,0)+IF(AND(Assumptions!B60&lt;&gt;"",IFERROR(DATEVALUE(TEXT(Assumptions!B60,"MM/DD/YYYY")),0)&gt;=DATE(2027,8,1),IFERROR(DATEVALUE(TEXT(Assumptions!B60,"MM/DD/YYYY")),0)&lt;=DATE(2027,8,31)),1,0))&gt;0,0,'Working Capital'!M13-'Working Capital'!L13)</f>
        <v/>
      </c>
      <c r="N12" s="156">
        <f>IF((IF(AND(Assumptions!B51&lt;&gt;"",IFERROR(DATEVALUE(TEXT(Assumptions!B51,"MM/DD/YYYY")),0)&gt;=DATE(2027,9,1),IFERROR(DATEVALUE(TEXT(Assumptions!B51,"MM/DD/YYYY")),0)&lt;=DATE(2027,9,30)),1,0)+IF(AND(Assumptions!B52&lt;&gt;"",IFERROR(DATEVALUE(TEXT(Assumptions!B52,"MM/DD/YYYY")),0)&gt;=DATE(2027,9,1),IFERROR(DATEVALUE(TEXT(Assumptions!B52,"MM/DD/YYYY")),0)&lt;=DATE(2027,9,30)),1,0)+IF(AND(Assumptions!B53&lt;&gt;"",IFERROR(DATEVALUE(TEXT(Assumptions!B53,"MM/DD/YYYY")),0)&gt;=DATE(2027,9,1),IFERROR(DATEVALUE(TEXT(Assumptions!B53,"MM/DD/YYYY")),0)&lt;=DATE(2027,9,30)),1,0)+IF(AND(Assumptions!B54&lt;&gt;"",IFERROR(DATEVALUE(TEXT(Assumptions!B54,"MM/DD/YYYY")),0)&gt;=DATE(2027,9,1),IFERROR(DATEVALUE(TEXT(Assumptions!B54,"MM/DD/YYYY")),0)&lt;=DATE(2027,9,30)),1,0)+IF(AND(Assumptions!B55&lt;&gt;"",IFERROR(DATEVALUE(TEXT(Assumptions!B55,"MM/DD/YYYY")),0)&gt;=DATE(2027,9,1),IFERROR(DATEVALUE(TEXT(Assumptions!B55,"MM/DD/YYYY")),0)&lt;=DATE(2027,9,30)),1,0)+IF(AND(Assumptions!B56&lt;&gt;"",IFERROR(DATEVALUE(TEXT(Assumptions!B56,"MM/DD/YYYY")),0)&gt;=DATE(2027,9,1),IFERROR(DATEVALUE(TEXT(Assumptions!B56,"MM/DD/YYYY")),0)&lt;=DATE(2027,9,30)),1,0)+IF(AND(Assumptions!B57&lt;&gt;"",IFERROR(DATEVALUE(TEXT(Assumptions!B57,"MM/DD/YYYY")),0)&gt;=DATE(2027,9,1),IFERROR(DATEVALUE(TEXT(Assumptions!B57,"MM/DD/YYYY")),0)&lt;=DATE(2027,9,30)),1,0)+IF(AND(Assumptions!B58&lt;&gt;"",IFERROR(DATEVALUE(TEXT(Assumptions!B58,"MM/DD/YYYY")),0)&gt;=DATE(2027,9,1),IFERROR(DATEVALUE(TEXT(Assumptions!B58,"MM/DD/YYYY")),0)&lt;=DATE(2027,9,30)),1,0)+IF(AND(Assumptions!B59&lt;&gt;"",IFERROR(DATEVALUE(TEXT(Assumptions!B59,"MM/DD/YYYY")),0)&gt;=DATE(2027,9,1),IFERROR(DATEVALUE(TEXT(Assumptions!B59,"MM/DD/YYYY")),0)&lt;=DATE(2027,9,30)),1,0)+IF(AND(Assumptions!B60&lt;&gt;"",IFERROR(DATEVALUE(TEXT(Assumptions!B60,"MM/DD/YYYY")),0)&gt;=DATE(2027,9,1),IFERROR(DATEVALUE(TEXT(Assumptions!B60,"MM/DD/YYYY")),0)&lt;=DATE(2027,9,30)),1,0))&gt;0,0,'Working Capital'!N13-'Working Capital'!M13)</f>
        <v/>
      </c>
      <c r="O12" s="156">
        <f>IF((IF(AND(Assumptions!B51&lt;&gt;"",IFERROR(DATEVALUE(TEXT(Assumptions!B51,"MM/DD/YYYY")),0)&gt;=DATE(2027,10,1),IFERROR(DATEVALUE(TEXT(Assumptions!B51,"MM/DD/YYYY")),0)&lt;=DATE(2027,10,31)),1,0)+IF(AND(Assumptions!B52&lt;&gt;"",IFERROR(DATEVALUE(TEXT(Assumptions!B52,"MM/DD/YYYY")),0)&gt;=DATE(2027,10,1),IFERROR(DATEVALUE(TEXT(Assumptions!B52,"MM/DD/YYYY")),0)&lt;=DATE(2027,10,31)),1,0)+IF(AND(Assumptions!B53&lt;&gt;"",IFERROR(DATEVALUE(TEXT(Assumptions!B53,"MM/DD/YYYY")),0)&gt;=DATE(2027,10,1),IFERROR(DATEVALUE(TEXT(Assumptions!B53,"MM/DD/YYYY")),0)&lt;=DATE(2027,10,31)),1,0)+IF(AND(Assumptions!B54&lt;&gt;"",IFERROR(DATEVALUE(TEXT(Assumptions!B54,"MM/DD/YYYY")),0)&gt;=DATE(2027,10,1),IFERROR(DATEVALUE(TEXT(Assumptions!B54,"MM/DD/YYYY")),0)&lt;=DATE(2027,10,31)),1,0)+IF(AND(Assumptions!B55&lt;&gt;"",IFERROR(DATEVALUE(TEXT(Assumptions!B55,"MM/DD/YYYY")),0)&gt;=DATE(2027,10,1),IFERROR(DATEVALUE(TEXT(Assumptions!B55,"MM/DD/YYYY")),0)&lt;=DATE(2027,10,31)),1,0)+IF(AND(Assumptions!B56&lt;&gt;"",IFERROR(DATEVALUE(TEXT(Assumptions!B56,"MM/DD/YYYY")),0)&gt;=DATE(2027,10,1),IFERROR(DATEVALUE(TEXT(Assumptions!B56,"MM/DD/YYYY")),0)&lt;=DATE(2027,10,31)),1,0)+IF(AND(Assumptions!B57&lt;&gt;"",IFERROR(DATEVALUE(TEXT(Assumptions!B57,"MM/DD/YYYY")),0)&gt;=DATE(2027,10,1),IFERROR(DATEVALUE(TEXT(Assumptions!B57,"MM/DD/YYYY")),0)&lt;=DATE(2027,10,31)),1,0)+IF(AND(Assumptions!B58&lt;&gt;"",IFERROR(DATEVALUE(TEXT(Assumptions!B58,"MM/DD/YYYY")),0)&gt;=DATE(2027,10,1),IFERROR(DATEVALUE(TEXT(Assumptions!B58,"MM/DD/YYYY")),0)&lt;=DATE(2027,10,31)),1,0)+IF(AND(Assumptions!B59&lt;&gt;"",IFERROR(DATEVALUE(TEXT(Assumptions!B59,"MM/DD/YYYY")),0)&gt;=DATE(2027,10,1),IFERROR(DATEVALUE(TEXT(Assumptions!B59,"MM/DD/YYYY")),0)&lt;=DATE(2027,10,31)),1,0)+IF(AND(Assumptions!B60&lt;&gt;"",IFERROR(DATEVALUE(TEXT(Assumptions!B60,"MM/DD/YYYY")),0)&gt;=DATE(2027,10,1),IFERROR(DATEVALUE(TEXT(Assumptions!B60,"MM/DD/YYYY")),0)&lt;=DATE(2027,10,31)),1,0))&gt;0,0,'Working Capital'!O13-'Working Capital'!N13)</f>
        <v/>
      </c>
      <c r="P12" s="156">
        <f>IF((IF(AND(Assumptions!B51&lt;&gt;"",IFERROR(DATEVALUE(TEXT(Assumptions!B51,"MM/DD/YYYY")),0)&gt;=DATE(2027,11,1),IFERROR(DATEVALUE(TEXT(Assumptions!B51,"MM/DD/YYYY")),0)&lt;=DATE(2027,11,30)),1,0)+IF(AND(Assumptions!B52&lt;&gt;"",IFERROR(DATEVALUE(TEXT(Assumptions!B52,"MM/DD/YYYY")),0)&gt;=DATE(2027,11,1),IFERROR(DATEVALUE(TEXT(Assumptions!B52,"MM/DD/YYYY")),0)&lt;=DATE(2027,11,30)),1,0)+IF(AND(Assumptions!B53&lt;&gt;"",IFERROR(DATEVALUE(TEXT(Assumptions!B53,"MM/DD/YYYY")),0)&gt;=DATE(2027,11,1),IFERROR(DATEVALUE(TEXT(Assumptions!B53,"MM/DD/YYYY")),0)&lt;=DATE(2027,11,30)),1,0)+IF(AND(Assumptions!B54&lt;&gt;"",IFERROR(DATEVALUE(TEXT(Assumptions!B54,"MM/DD/YYYY")),0)&gt;=DATE(2027,11,1),IFERROR(DATEVALUE(TEXT(Assumptions!B54,"MM/DD/YYYY")),0)&lt;=DATE(2027,11,30)),1,0)+IF(AND(Assumptions!B55&lt;&gt;"",IFERROR(DATEVALUE(TEXT(Assumptions!B55,"MM/DD/YYYY")),0)&gt;=DATE(2027,11,1),IFERROR(DATEVALUE(TEXT(Assumptions!B55,"MM/DD/YYYY")),0)&lt;=DATE(2027,11,30)),1,0)+IF(AND(Assumptions!B56&lt;&gt;"",IFERROR(DATEVALUE(TEXT(Assumptions!B56,"MM/DD/YYYY")),0)&gt;=DATE(2027,11,1),IFERROR(DATEVALUE(TEXT(Assumptions!B56,"MM/DD/YYYY")),0)&lt;=DATE(2027,11,30)),1,0)+IF(AND(Assumptions!B57&lt;&gt;"",IFERROR(DATEVALUE(TEXT(Assumptions!B57,"MM/DD/YYYY")),0)&gt;=DATE(2027,11,1),IFERROR(DATEVALUE(TEXT(Assumptions!B57,"MM/DD/YYYY")),0)&lt;=DATE(2027,11,30)),1,0)+IF(AND(Assumptions!B58&lt;&gt;"",IFERROR(DATEVALUE(TEXT(Assumptions!B58,"MM/DD/YYYY")),0)&gt;=DATE(2027,11,1),IFERROR(DATEVALUE(TEXT(Assumptions!B58,"MM/DD/YYYY")),0)&lt;=DATE(2027,11,30)),1,0)+IF(AND(Assumptions!B59&lt;&gt;"",IFERROR(DATEVALUE(TEXT(Assumptions!B59,"MM/DD/YYYY")),0)&gt;=DATE(2027,11,1),IFERROR(DATEVALUE(TEXT(Assumptions!B59,"MM/DD/YYYY")),0)&lt;=DATE(2027,11,30)),1,0)+IF(AND(Assumptions!B60&lt;&gt;"",IFERROR(DATEVALUE(TEXT(Assumptions!B60,"MM/DD/YYYY")),0)&gt;=DATE(2027,11,1),IFERROR(DATEVALUE(TEXT(Assumptions!B60,"MM/DD/YYYY")),0)&lt;=DATE(2027,11,30)),1,0))&gt;0,0,'Working Capital'!P13-'Working Capital'!O13)</f>
        <v/>
      </c>
      <c r="Q12" s="156">
        <f>IF((IF(AND(Assumptions!B51&lt;&gt;"",IFERROR(DATEVALUE(TEXT(Assumptions!B51,"MM/DD/YYYY")),0)&gt;=DATE(2027,12,1),IFERROR(DATEVALUE(TEXT(Assumptions!B51,"MM/DD/YYYY")),0)&lt;=DATE(2027,12,31)),1,0)+IF(AND(Assumptions!B52&lt;&gt;"",IFERROR(DATEVALUE(TEXT(Assumptions!B52,"MM/DD/YYYY")),0)&gt;=DATE(2027,12,1),IFERROR(DATEVALUE(TEXT(Assumptions!B52,"MM/DD/YYYY")),0)&lt;=DATE(2027,12,31)),1,0)+IF(AND(Assumptions!B53&lt;&gt;"",IFERROR(DATEVALUE(TEXT(Assumptions!B53,"MM/DD/YYYY")),0)&gt;=DATE(2027,12,1),IFERROR(DATEVALUE(TEXT(Assumptions!B53,"MM/DD/YYYY")),0)&lt;=DATE(2027,12,31)),1,0)+IF(AND(Assumptions!B54&lt;&gt;"",IFERROR(DATEVALUE(TEXT(Assumptions!B54,"MM/DD/YYYY")),0)&gt;=DATE(2027,12,1),IFERROR(DATEVALUE(TEXT(Assumptions!B54,"MM/DD/YYYY")),0)&lt;=DATE(2027,12,31)),1,0)+IF(AND(Assumptions!B55&lt;&gt;"",IFERROR(DATEVALUE(TEXT(Assumptions!B55,"MM/DD/YYYY")),0)&gt;=DATE(2027,12,1),IFERROR(DATEVALUE(TEXT(Assumptions!B55,"MM/DD/YYYY")),0)&lt;=DATE(2027,12,31)),1,0)+IF(AND(Assumptions!B56&lt;&gt;"",IFERROR(DATEVALUE(TEXT(Assumptions!B56,"MM/DD/YYYY")),0)&gt;=DATE(2027,12,1),IFERROR(DATEVALUE(TEXT(Assumptions!B56,"MM/DD/YYYY")),0)&lt;=DATE(2027,12,31)),1,0)+IF(AND(Assumptions!B57&lt;&gt;"",IFERROR(DATEVALUE(TEXT(Assumptions!B57,"MM/DD/YYYY")),0)&gt;=DATE(2027,12,1),IFERROR(DATEVALUE(TEXT(Assumptions!B57,"MM/DD/YYYY")),0)&lt;=DATE(2027,12,31)),1,0)+IF(AND(Assumptions!B58&lt;&gt;"",IFERROR(DATEVALUE(TEXT(Assumptions!B58,"MM/DD/YYYY")),0)&gt;=DATE(2027,12,1),IFERROR(DATEVALUE(TEXT(Assumptions!B58,"MM/DD/YYYY")),0)&lt;=DATE(2027,12,31)),1,0)+IF(AND(Assumptions!B59&lt;&gt;"",IFERROR(DATEVALUE(TEXT(Assumptions!B59,"MM/DD/YYYY")),0)&gt;=DATE(2027,12,1),IFERROR(DATEVALUE(TEXT(Assumptions!B59,"MM/DD/YYYY")),0)&lt;=DATE(2027,12,31)),1,0)+IF(AND(Assumptions!B60&lt;&gt;"",IFERROR(DATEVALUE(TEXT(Assumptions!B60,"MM/DD/YYYY")),0)&gt;=DATE(2027,12,1),IFERROR(DATEVALUE(TEXT(Assumptions!B60,"MM/DD/YYYY")),0)&lt;=DATE(2027,12,31)),1,0))&gt;0,0,'Working Capital'!Q13-'Working Capital'!P13)</f>
        <v/>
      </c>
      <c r="R12" s="156">
        <f>IF((IF(AND(Assumptions!B51&lt;&gt;"",IFERROR(DATEVALUE(TEXT(Assumptions!B51,"MM/DD/YYYY")),0)&gt;=DATE(2028,1,1),IFERROR(DATEVALUE(TEXT(Assumptions!B51,"MM/DD/YYYY")),0)&lt;=DATE(2028,1,31)),1,0)+IF(AND(Assumptions!B52&lt;&gt;"",IFERROR(DATEVALUE(TEXT(Assumptions!B52,"MM/DD/YYYY")),0)&gt;=DATE(2028,1,1),IFERROR(DATEVALUE(TEXT(Assumptions!B52,"MM/DD/YYYY")),0)&lt;=DATE(2028,1,31)),1,0)+IF(AND(Assumptions!B53&lt;&gt;"",IFERROR(DATEVALUE(TEXT(Assumptions!B53,"MM/DD/YYYY")),0)&gt;=DATE(2028,1,1),IFERROR(DATEVALUE(TEXT(Assumptions!B53,"MM/DD/YYYY")),0)&lt;=DATE(2028,1,31)),1,0)+IF(AND(Assumptions!B54&lt;&gt;"",IFERROR(DATEVALUE(TEXT(Assumptions!B54,"MM/DD/YYYY")),0)&gt;=DATE(2028,1,1),IFERROR(DATEVALUE(TEXT(Assumptions!B54,"MM/DD/YYYY")),0)&lt;=DATE(2028,1,31)),1,0)+IF(AND(Assumptions!B55&lt;&gt;"",IFERROR(DATEVALUE(TEXT(Assumptions!B55,"MM/DD/YYYY")),0)&gt;=DATE(2028,1,1),IFERROR(DATEVALUE(TEXT(Assumptions!B55,"MM/DD/YYYY")),0)&lt;=DATE(2028,1,31)),1,0)+IF(AND(Assumptions!B56&lt;&gt;"",IFERROR(DATEVALUE(TEXT(Assumptions!B56,"MM/DD/YYYY")),0)&gt;=DATE(2028,1,1),IFERROR(DATEVALUE(TEXT(Assumptions!B56,"MM/DD/YYYY")),0)&lt;=DATE(2028,1,31)),1,0)+IF(AND(Assumptions!B57&lt;&gt;"",IFERROR(DATEVALUE(TEXT(Assumptions!B57,"MM/DD/YYYY")),0)&gt;=DATE(2028,1,1),IFERROR(DATEVALUE(TEXT(Assumptions!B57,"MM/DD/YYYY")),0)&lt;=DATE(2028,1,31)),1,0)+IF(AND(Assumptions!B58&lt;&gt;"",IFERROR(DATEVALUE(TEXT(Assumptions!B58,"MM/DD/YYYY")),0)&gt;=DATE(2028,1,1),IFERROR(DATEVALUE(TEXT(Assumptions!B58,"MM/DD/YYYY")),0)&lt;=DATE(2028,1,31)),1,0)+IF(AND(Assumptions!B59&lt;&gt;"",IFERROR(DATEVALUE(TEXT(Assumptions!B59,"MM/DD/YYYY")),0)&gt;=DATE(2028,1,1),IFERROR(DATEVALUE(TEXT(Assumptions!B59,"MM/DD/YYYY")),0)&lt;=DATE(2028,1,31)),1,0)+IF(AND(Assumptions!B60&lt;&gt;"",IFERROR(DATEVALUE(TEXT(Assumptions!B60,"MM/DD/YYYY")),0)&gt;=DATE(2028,1,1),IFERROR(DATEVALUE(TEXT(Assumptions!B60,"MM/DD/YYYY")),0)&lt;=DATE(2028,1,31)),1,0))&gt;0,0,'Working Capital'!R13-'Working Capital'!Q13)</f>
        <v/>
      </c>
      <c r="S12" s="156">
        <f>IF((IF(AND(Assumptions!B51&lt;&gt;"",IFERROR(DATEVALUE(TEXT(Assumptions!B51,"MM/DD/YYYY")),0)&gt;=DATE(2028,2,1),IFERROR(DATEVALUE(TEXT(Assumptions!B51,"MM/DD/YYYY")),0)&lt;=DATE(2028,2,29)),1,0)+IF(AND(Assumptions!B52&lt;&gt;"",IFERROR(DATEVALUE(TEXT(Assumptions!B52,"MM/DD/YYYY")),0)&gt;=DATE(2028,2,1),IFERROR(DATEVALUE(TEXT(Assumptions!B52,"MM/DD/YYYY")),0)&lt;=DATE(2028,2,29)),1,0)+IF(AND(Assumptions!B53&lt;&gt;"",IFERROR(DATEVALUE(TEXT(Assumptions!B53,"MM/DD/YYYY")),0)&gt;=DATE(2028,2,1),IFERROR(DATEVALUE(TEXT(Assumptions!B53,"MM/DD/YYYY")),0)&lt;=DATE(2028,2,29)),1,0)+IF(AND(Assumptions!B54&lt;&gt;"",IFERROR(DATEVALUE(TEXT(Assumptions!B54,"MM/DD/YYYY")),0)&gt;=DATE(2028,2,1),IFERROR(DATEVALUE(TEXT(Assumptions!B54,"MM/DD/YYYY")),0)&lt;=DATE(2028,2,29)),1,0)+IF(AND(Assumptions!B55&lt;&gt;"",IFERROR(DATEVALUE(TEXT(Assumptions!B55,"MM/DD/YYYY")),0)&gt;=DATE(2028,2,1),IFERROR(DATEVALUE(TEXT(Assumptions!B55,"MM/DD/YYYY")),0)&lt;=DATE(2028,2,29)),1,0)+IF(AND(Assumptions!B56&lt;&gt;"",IFERROR(DATEVALUE(TEXT(Assumptions!B56,"MM/DD/YYYY")),0)&gt;=DATE(2028,2,1),IFERROR(DATEVALUE(TEXT(Assumptions!B56,"MM/DD/YYYY")),0)&lt;=DATE(2028,2,29)),1,0)+IF(AND(Assumptions!B57&lt;&gt;"",IFERROR(DATEVALUE(TEXT(Assumptions!B57,"MM/DD/YYYY")),0)&gt;=DATE(2028,2,1),IFERROR(DATEVALUE(TEXT(Assumptions!B57,"MM/DD/YYYY")),0)&lt;=DATE(2028,2,29)),1,0)+IF(AND(Assumptions!B58&lt;&gt;"",IFERROR(DATEVALUE(TEXT(Assumptions!B58,"MM/DD/YYYY")),0)&gt;=DATE(2028,2,1),IFERROR(DATEVALUE(TEXT(Assumptions!B58,"MM/DD/YYYY")),0)&lt;=DATE(2028,2,29)),1,0)+IF(AND(Assumptions!B59&lt;&gt;"",IFERROR(DATEVALUE(TEXT(Assumptions!B59,"MM/DD/YYYY")),0)&gt;=DATE(2028,2,1),IFERROR(DATEVALUE(TEXT(Assumptions!B59,"MM/DD/YYYY")),0)&lt;=DATE(2028,2,29)),1,0)+IF(AND(Assumptions!B60&lt;&gt;"",IFERROR(DATEVALUE(TEXT(Assumptions!B60,"MM/DD/YYYY")),0)&gt;=DATE(2028,2,1),IFERROR(DATEVALUE(TEXT(Assumptions!B60,"MM/DD/YYYY")),0)&lt;=DATE(2028,2,29)),1,0))&gt;0,0,'Working Capital'!S13-'Working Capital'!R13)</f>
        <v/>
      </c>
      <c r="T12" s="156">
        <f>IF((IF(AND(Assumptions!B51&lt;&gt;"",IFERROR(DATEVALUE(TEXT(Assumptions!B51,"MM/DD/YYYY")),0)&gt;=DATE(2028,3,1),IFERROR(DATEVALUE(TEXT(Assumptions!B51,"MM/DD/YYYY")),0)&lt;=DATE(2028,3,31)),1,0)+IF(AND(Assumptions!B52&lt;&gt;"",IFERROR(DATEVALUE(TEXT(Assumptions!B52,"MM/DD/YYYY")),0)&gt;=DATE(2028,3,1),IFERROR(DATEVALUE(TEXT(Assumptions!B52,"MM/DD/YYYY")),0)&lt;=DATE(2028,3,31)),1,0)+IF(AND(Assumptions!B53&lt;&gt;"",IFERROR(DATEVALUE(TEXT(Assumptions!B53,"MM/DD/YYYY")),0)&gt;=DATE(2028,3,1),IFERROR(DATEVALUE(TEXT(Assumptions!B53,"MM/DD/YYYY")),0)&lt;=DATE(2028,3,31)),1,0)+IF(AND(Assumptions!B54&lt;&gt;"",IFERROR(DATEVALUE(TEXT(Assumptions!B54,"MM/DD/YYYY")),0)&gt;=DATE(2028,3,1),IFERROR(DATEVALUE(TEXT(Assumptions!B54,"MM/DD/YYYY")),0)&lt;=DATE(2028,3,31)),1,0)+IF(AND(Assumptions!B55&lt;&gt;"",IFERROR(DATEVALUE(TEXT(Assumptions!B55,"MM/DD/YYYY")),0)&gt;=DATE(2028,3,1),IFERROR(DATEVALUE(TEXT(Assumptions!B55,"MM/DD/YYYY")),0)&lt;=DATE(2028,3,31)),1,0)+IF(AND(Assumptions!B56&lt;&gt;"",IFERROR(DATEVALUE(TEXT(Assumptions!B56,"MM/DD/YYYY")),0)&gt;=DATE(2028,3,1),IFERROR(DATEVALUE(TEXT(Assumptions!B56,"MM/DD/YYYY")),0)&lt;=DATE(2028,3,31)),1,0)+IF(AND(Assumptions!B57&lt;&gt;"",IFERROR(DATEVALUE(TEXT(Assumptions!B57,"MM/DD/YYYY")),0)&gt;=DATE(2028,3,1),IFERROR(DATEVALUE(TEXT(Assumptions!B57,"MM/DD/YYYY")),0)&lt;=DATE(2028,3,31)),1,0)+IF(AND(Assumptions!B58&lt;&gt;"",IFERROR(DATEVALUE(TEXT(Assumptions!B58,"MM/DD/YYYY")),0)&gt;=DATE(2028,3,1),IFERROR(DATEVALUE(TEXT(Assumptions!B58,"MM/DD/YYYY")),0)&lt;=DATE(2028,3,31)),1,0)+IF(AND(Assumptions!B59&lt;&gt;"",IFERROR(DATEVALUE(TEXT(Assumptions!B59,"MM/DD/YYYY")),0)&gt;=DATE(2028,3,1),IFERROR(DATEVALUE(TEXT(Assumptions!B59,"MM/DD/YYYY")),0)&lt;=DATE(2028,3,31)),1,0)+IF(AND(Assumptions!B60&lt;&gt;"",IFERROR(DATEVALUE(TEXT(Assumptions!B60,"MM/DD/YYYY")),0)&gt;=DATE(2028,3,1),IFERROR(DATEVALUE(TEXT(Assumptions!B60,"MM/DD/YYYY")),0)&lt;=DATE(2028,3,31)),1,0))&gt;0,0,'Working Capital'!T13-'Working Capital'!S13)</f>
        <v/>
      </c>
      <c r="U12" s="156">
        <f>IF((IF(AND(Assumptions!B51&lt;&gt;"",IFERROR(DATEVALUE(TEXT(Assumptions!B51,"MM/DD/YYYY")),0)&gt;=DATE(2028,4,1),IFERROR(DATEVALUE(TEXT(Assumptions!B51,"MM/DD/YYYY")),0)&lt;=DATE(2028,4,30)),1,0)+IF(AND(Assumptions!B52&lt;&gt;"",IFERROR(DATEVALUE(TEXT(Assumptions!B52,"MM/DD/YYYY")),0)&gt;=DATE(2028,4,1),IFERROR(DATEVALUE(TEXT(Assumptions!B52,"MM/DD/YYYY")),0)&lt;=DATE(2028,4,30)),1,0)+IF(AND(Assumptions!B53&lt;&gt;"",IFERROR(DATEVALUE(TEXT(Assumptions!B53,"MM/DD/YYYY")),0)&gt;=DATE(2028,4,1),IFERROR(DATEVALUE(TEXT(Assumptions!B53,"MM/DD/YYYY")),0)&lt;=DATE(2028,4,30)),1,0)+IF(AND(Assumptions!B54&lt;&gt;"",IFERROR(DATEVALUE(TEXT(Assumptions!B54,"MM/DD/YYYY")),0)&gt;=DATE(2028,4,1),IFERROR(DATEVALUE(TEXT(Assumptions!B54,"MM/DD/YYYY")),0)&lt;=DATE(2028,4,30)),1,0)+IF(AND(Assumptions!B55&lt;&gt;"",IFERROR(DATEVALUE(TEXT(Assumptions!B55,"MM/DD/YYYY")),0)&gt;=DATE(2028,4,1),IFERROR(DATEVALUE(TEXT(Assumptions!B55,"MM/DD/YYYY")),0)&lt;=DATE(2028,4,30)),1,0)+IF(AND(Assumptions!B56&lt;&gt;"",IFERROR(DATEVALUE(TEXT(Assumptions!B56,"MM/DD/YYYY")),0)&gt;=DATE(2028,4,1),IFERROR(DATEVALUE(TEXT(Assumptions!B56,"MM/DD/YYYY")),0)&lt;=DATE(2028,4,30)),1,0)+IF(AND(Assumptions!B57&lt;&gt;"",IFERROR(DATEVALUE(TEXT(Assumptions!B57,"MM/DD/YYYY")),0)&gt;=DATE(2028,4,1),IFERROR(DATEVALUE(TEXT(Assumptions!B57,"MM/DD/YYYY")),0)&lt;=DATE(2028,4,30)),1,0)+IF(AND(Assumptions!B58&lt;&gt;"",IFERROR(DATEVALUE(TEXT(Assumptions!B58,"MM/DD/YYYY")),0)&gt;=DATE(2028,4,1),IFERROR(DATEVALUE(TEXT(Assumptions!B58,"MM/DD/YYYY")),0)&lt;=DATE(2028,4,30)),1,0)+IF(AND(Assumptions!B59&lt;&gt;"",IFERROR(DATEVALUE(TEXT(Assumptions!B59,"MM/DD/YYYY")),0)&gt;=DATE(2028,4,1),IFERROR(DATEVALUE(TEXT(Assumptions!B59,"MM/DD/YYYY")),0)&lt;=DATE(2028,4,30)),1,0)+IF(AND(Assumptions!B60&lt;&gt;"",IFERROR(DATEVALUE(TEXT(Assumptions!B60,"MM/DD/YYYY")),0)&gt;=DATE(2028,4,1),IFERROR(DATEVALUE(TEXT(Assumptions!B60,"MM/DD/YYYY")),0)&lt;=DATE(2028,4,30)),1,0))&gt;0,0,'Working Capital'!U13-'Working Capital'!T13)</f>
        <v/>
      </c>
      <c r="V12" s="156">
        <f>IF((IF(AND(Assumptions!B51&lt;&gt;"",IFERROR(DATEVALUE(TEXT(Assumptions!B51,"MM/DD/YYYY")),0)&gt;=DATE(2028,5,1),IFERROR(DATEVALUE(TEXT(Assumptions!B51,"MM/DD/YYYY")),0)&lt;=DATE(2028,5,31)),1,0)+IF(AND(Assumptions!B52&lt;&gt;"",IFERROR(DATEVALUE(TEXT(Assumptions!B52,"MM/DD/YYYY")),0)&gt;=DATE(2028,5,1),IFERROR(DATEVALUE(TEXT(Assumptions!B52,"MM/DD/YYYY")),0)&lt;=DATE(2028,5,31)),1,0)+IF(AND(Assumptions!B53&lt;&gt;"",IFERROR(DATEVALUE(TEXT(Assumptions!B53,"MM/DD/YYYY")),0)&gt;=DATE(2028,5,1),IFERROR(DATEVALUE(TEXT(Assumptions!B53,"MM/DD/YYYY")),0)&lt;=DATE(2028,5,31)),1,0)+IF(AND(Assumptions!B54&lt;&gt;"",IFERROR(DATEVALUE(TEXT(Assumptions!B54,"MM/DD/YYYY")),0)&gt;=DATE(2028,5,1),IFERROR(DATEVALUE(TEXT(Assumptions!B54,"MM/DD/YYYY")),0)&lt;=DATE(2028,5,31)),1,0)+IF(AND(Assumptions!B55&lt;&gt;"",IFERROR(DATEVALUE(TEXT(Assumptions!B55,"MM/DD/YYYY")),0)&gt;=DATE(2028,5,1),IFERROR(DATEVALUE(TEXT(Assumptions!B55,"MM/DD/YYYY")),0)&lt;=DATE(2028,5,31)),1,0)+IF(AND(Assumptions!B56&lt;&gt;"",IFERROR(DATEVALUE(TEXT(Assumptions!B56,"MM/DD/YYYY")),0)&gt;=DATE(2028,5,1),IFERROR(DATEVALUE(TEXT(Assumptions!B56,"MM/DD/YYYY")),0)&lt;=DATE(2028,5,31)),1,0)+IF(AND(Assumptions!B57&lt;&gt;"",IFERROR(DATEVALUE(TEXT(Assumptions!B57,"MM/DD/YYYY")),0)&gt;=DATE(2028,5,1),IFERROR(DATEVALUE(TEXT(Assumptions!B57,"MM/DD/YYYY")),0)&lt;=DATE(2028,5,31)),1,0)+IF(AND(Assumptions!B58&lt;&gt;"",IFERROR(DATEVALUE(TEXT(Assumptions!B58,"MM/DD/YYYY")),0)&gt;=DATE(2028,5,1),IFERROR(DATEVALUE(TEXT(Assumptions!B58,"MM/DD/YYYY")),0)&lt;=DATE(2028,5,31)),1,0)+IF(AND(Assumptions!B59&lt;&gt;"",IFERROR(DATEVALUE(TEXT(Assumptions!B59,"MM/DD/YYYY")),0)&gt;=DATE(2028,5,1),IFERROR(DATEVALUE(TEXT(Assumptions!B59,"MM/DD/YYYY")),0)&lt;=DATE(2028,5,31)),1,0)+IF(AND(Assumptions!B60&lt;&gt;"",IFERROR(DATEVALUE(TEXT(Assumptions!B60,"MM/DD/YYYY")),0)&gt;=DATE(2028,5,1),IFERROR(DATEVALUE(TEXT(Assumptions!B60,"MM/DD/YYYY")),0)&lt;=DATE(2028,5,31)),1,0))&gt;0,0,'Working Capital'!V13-'Working Capital'!U13)</f>
        <v/>
      </c>
      <c r="W12" s="156">
        <f>IF((IF(AND(Assumptions!B51&lt;&gt;"",IFERROR(DATEVALUE(TEXT(Assumptions!B51,"MM/DD/YYYY")),0)&gt;=DATE(2028,6,1),IFERROR(DATEVALUE(TEXT(Assumptions!B51,"MM/DD/YYYY")),0)&lt;=DATE(2028,6,30)),1,0)+IF(AND(Assumptions!B52&lt;&gt;"",IFERROR(DATEVALUE(TEXT(Assumptions!B52,"MM/DD/YYYY")),0)&gt;=DATE(2028,6,1),IFERROR(DATEVALUE(TEXT(Assumptions!B52,"MM/DD/YYYY")),0)&lt;=DATE(2028,6,30)),1,0)+IF(AND(Assumptions!B53&lt;&gt;"",IFERROR(DATEVALUE(TEXT(Assumptions!B53,"MM/DD/YYYY")),0)&gt;=DATE(2028,6,1),IFERROR(DATEVALUE(TEXT(Assumptions!B53,"MM/DD/YYYY")),0)&lt;=DATE(2028,6,30)),1,0)+IF(AND(Assumptions!B54&lt;&gt;"",IFERROR(DATEVALUE(TEXT(Assumptions!B54,"MM/DD/YYYY")),0)&gt;=DATE(2028,6,1),IFERROR(DATEVALUE(TEXT(Assumptions!B54,"MM/DD/YYYY")),0)&lt;=DATE(2028,6,30)),1,0)+IF(AND(Assumptions!B55&lt;&gt;"",IFERROR(DATEVALUE(TEXT(Assumptions!B55,"MM/DD/YYYY")),0)&gt;=DATE(2028,6,1),IFERROR(DATEVALUE(TEXT(Assumptions!B55,"MM/DD/YYYY")),0)&lt;=DATE(2028,6,30)),1,0)+IF(AND(Assumptions!B56&lt;&gt;"",IFERROR(DATEVALUE(TEXT(Assumptions!B56,"MM/DD/YYYY")),0)&gt;=DATE(2028,6,1),IFERROR(DATEVALUE(TEXT(Assumptions!B56,"MM/DD/YYYY")),0)&lt;=DATE(2028,6,30)),1,0)+IF(AND(Assumptions!B57&lt;&gt;"",IFERROR(DATEVALUE(TEXT(Assumptions!B57,"MM/DD/YYYY")),0)&gt;=DATE(2028,6,1),IFERROR(DATEVALUE(TEXT(Assumptions!B57,"MM/DD/YYYY")),0)&lt;=DATE(2028,6,30)),1,0)+IF(AND(Assumptions!B58&lt;&gt;"",IFERROR(DATEVALUE(TEXT(Assumptions!B58,"MM/DD/YYYY")),0)&gt;=DATE(2028,6,1),IFERROR(DATEVALUE(TEXT(Assumptions!B58,"MM/DD/YYYY")),0)&lt;=DATE(2028,6,30)),1,0)+IF(AND(Assumptions!B59&lt;&gt;"",IFERROR(DATEVALUE(TEXT(Assumptions!B59,"MM/DD/YYYY")),0)&gt;=DATE(2028,6,1),IFERROR(DATEVALUE(TEXT(Assumptions!B59,"MM/DD/YYYY")),0)&lt;=DATE(2028,6,30)),1,0)+IF(AND(Assumptions!B60&lt;&gt;"",IFERROR(DATEVALUE(TEXT(Assumptions!B60,"MM/DD/YYYY")),0)&gt;=DATE(2028,6,1),IFERROR(DATEVALUE(TEXT(Assumptions!B60,"MM/DD/YYYY")),0)&lt;=DATE(2028,6,30)),1,0))&gt;0,0,'Working Capital'!W13-'Working Capital'!V13)</f>
        <v/>
      </c>
      <c r="X12" s="156">
        <f>IF((IF(AND(Assumptions!B51&lt;&gt;"",IFERROR(DATEVALUE(TEXT(Assumptions!B51,"MM/DD/YYYY")),0)&gt;=DATE(2028,7,1),IFERROR(DATEVALUE(TEXT(Assumptions!B51,"MM/DD/YYYY")),0)&lt;=DATE(2028,7,31)),1,0)+IF(AND(Assumptions!B52&lt;&gt;"",IFERROR(DATEVALUE(TEXT(Assumptions!B52,"MM/DD/YYYY")),0)&gt;=DATE(2028,7,1),IFERROR(DATEVALUE(TEXT(Assumptions!B52,"MM/DD/YYYY")),0)&lt;=DATE(2028,7,31)),1,0)+IF(AND(Assumptions!B53&lt;&gt;"",IFERROR(DATEVALUE(TEXT(Assumptions!B53,"MM/DD/YYYY")),0)&gt;=DATE(2028,7,1),IFERROR(DATEVALUE(TEXT(Assumptions!B53,"MM/DD/YYYY")),0)&lt;=DATE(2028,7,31)),1,0)+IF(AND(Assumptions!B54&lt;&gt;"",IFERROR(DATEVALUE(TEXT(Assumptions!B54,"MM/DD/YYYY")),0)&gt;=DATE(2028,7,1),IFERROR(DATEVALUE(TEXT(Assumptions!B54,"MM/DD/YYYY")),0)&lt;=DATE(2028,7,31)),1,0)+IF(AND(Assumptions!B55&lt;&gt;"",IFERROR(DATEVALUE(TEXT(Assumptions!B55,"MM/DD/YYYY")),0)&gt;=DATE(2028,7,1),IFERROR(DATEVALUE(TEXT(Assumptions!B55,"MM/DD/YYYY")),0)&lt;=DATE(2028,7,31)),1,0)+IF(AND(Assumptions!B56&lt;&gt;"",IFERROR(DATEVALUE(TEXT(Assumptions!B56,"MM/DD/YYYY")),0)&gt;=DATE(2028,7,1),IFERROR(DATEVALUE(TEXT(Assumptions!B56,"MM/DD/YYYY")),0)&lt;=DATE(2028,7,31)),1,0)+IF(AND(Assumptions!B57&lt;&gt;"",IFERROR(DATEVALUE(TEXT(Assumptions!B57,"MM/DD/YYYY")),0)&gt;=DATE(2028,7,1),IFERROR(DATEVALUE(TEXT(Assumptions!B57,"MM/DD/YYYY")),0)&lt;=DATE(2028,7,31)),1,0)+IF(AND(Assumptions!B58&lt;&gt;"",IFERROR(DATEVALUE(TEXT(Assumptions!B58,"MM/DD/YYYY")),0)&gt;=DATE(2028,7,1),IFERROR(DATEVALUE(TEXT(Assumptions!B58,"MM/DD/YYYY")),0)&lt;=DATE(2028,7,31)),1,0)+IF(AND(Assumptions!B59&lt;&gt;"",IFERROR(DATEVALUE(TEXT(Assumptions!B59,"MM/DD/YYYY")),0)&gt;=DATE(2028,7,1),IFERROR(DATEVALUE(TEXT(Assumptions!B59,"MM/DD/YYYY")),0)&lt;=DATE(2028,7,31)),1,0)+IF(AND(Assumptions!B60&lt;&gt;"",IFERROR(DATEVALUE(TEXT(Assumptions!B60,"MM/DD/YYYY")),0)&gt;=DATE(2028,7,1),IFERROR(DATEVALUE(TEXT(Assumptions!B60,"MM/DD/YYYY")),0)&lt;=DATE(2028,7,31)),1,0))&gt;0,0,'Working Capital'!X13-'Working Capital'!W13)</f>
        <v/>
      </c>
      <c r="Y12" s="156">
        <f>IF((IF(AND(Assumptions!B51&lt;&gt;"",IFERROR(DATEVALUE(TEXT(Assumptions!B51,"MM/DD/YYYY")),0)&gt;=DATE(2028,8,1),IFERROR(DATEVALUE(TEXT(Assumptions!B51,"MM/DD/YYYY")),0)&lt;=DATE(2028,8,31)),1,0)+IF(AND(Assumptions!B52&lt;&gt;"",IFERROR(DATEVALUE(TEXT(Assumptions!B52,"MM/DD/YYYY")),0)&gt;=DATE(2028,8,1),IFERROR(DATEVALUE(TEXT(Assumptions!B52,"MM/DD/YYYY")),0)&lt;=DATE(2028,8,31)),1,0)+IF(AND(Assumptions!B53&lt;&gt;"",IFERROR(DATEVALUE(TEXT(Assumptions!B53,"MM/DD/YYYY")),0)&gt;=DATE(2028,8,1),IFERROR(DATEVALUE(TEXT(Assumptions!B53,"MM/DD/YYYY")),0)&lt;=DATE(2028,8,31)),1,0)+IF(AND(Assumptions!B54&lt;&gt;"",IFERROR(DATEVALUE(TEXT(Assumptions!B54,"MM/DD/YYYY")),0)&gt;=DATE(2028,8,1),IFERROR(DATEVALUE(TEXT(Assumptions!B54,"MM/DD/YYYY")),0)&lt;=DATE(2028,8,31)),1,0)+IF(AND(Assumptions!B55&lt;&gt;"",IFERROR(DATEVALUE(TEXT(Assumptions!B55,"MM/DD/YYYY")),0)&gt;=DATE(2028,8,1),IFERROR(DATEVALUE(TEXT(Assumptions!B55,"MM/DD/YYYY")),0)&lt;=DATE(2028,8,31)),1,0)+IF(AND(Assumptions!B56&lt;&gt;"",IFERROR(DATEVALUE(TEXT(Assumptions!B56,"MM/DD/YYYY")),0)&gt;=DATE(2028,8,1),IFERROR(DATEVALUE(TEXT(Assumptions!B56,"MM/DD/YYYY")),0)&lt;=DATE(2028,8,31)),1,0)+IF(AND(Assumptions!B57&lt;&gt;"",IFERROR(DATEVALUE(TEXT(Assumptions!B57,"MM/DD/YYYY")),0)&gt;=DATE(2028,8,1),IFERROR(DATEVALUE(TEXT(Assumptions!B57,"MM/DD/YYYY")),0)&lt;=DATE(2028,8,31)),1,0)+IF(AND(Assumptions!B58&lt;&gt;"",IFERROR(DATEVALUE(TEXT(Assumptions!B58,"MM/DD/YYYY")),0)&gt;=DATE(2028,8,1),IFERROR(DATEVALUE(TEXT(Assumptions!B58,"MM/DD/YYYY")),0)&lt;=DATE(2028,8,31)),1,0)+IF(AND(Assumptions!B59&lt;&gt;"",IFERROR(DATEVALUE(TEXT(Assumptions!B59,"MM/DD/YYYY")),0)&gt;=DATE(2028,8,1),IFERROR(DATEVALUE(TEXT(Assumptions!B59,"MM/DD/YYYY")),0)&lt;=DATE(2028,8,31)),1,0)+IF(AND(Assumptions!B60&lt;&gt;"",IFERROR(DATEVALUE(TEXT(Assumptions!B60,"MM/DD/YYYY")),0)&gt;=DATE(2028,8,1),IFERROR(DATEVALUE(TEXT(Assumptions!B60,"MM/DD/YYYY")),0)&lt;=DATE(2028,8,31)),1,0))&gt;0,0,'Working Capital'!Y13-'Working Capital'!X13)</f>
        <v/>
      </c>
      <c r="Z12" s="156">
        <f>IF((IF(AND(Assumptions!B51&lt;&gt;"",IFERROR(DATEVALUE(TEXT(Assumptions!B51,"MM/DD/YYYY")),0)&gt;=DATE(2028,9,1),IFERROR(DATEVALUE(TEXT(Assumptions!B51,"MM/DD/YYYY")),0)&lt;=DATE(2028,9,30)),1,0)+IF(AND(Assumptions!B52&lt;&gt;"",IFERROR(DATEVALUE(TEXT(Assumptions!B52,"MM/DD/YYYY")),0)&gt;=DATE(2028,9,1),IFERROR(DATEVALUE(TEXT(Assumptions!B52,"MM/DD/YYYY")),0)&lt;=DATE(2028,9,30)),1,0)+IF(AND(Assumptions!B53&lt;&gt;"",IFERROR(DATEVALUE(TEXT(Assumptions!B53,"MM/DD/YYYY")),0)&gt;=DATE(2028,9,1),IFERROR(DATEVALUE(TEXT(Assumptions!B53,"MM/DD/YYYY")),0)&lt;=DATE(2028,9,30)),1,0)+IF(AND(Assumptions!B54&lt;&gt;"",IFERROR(DATEVALUE(TEXT(Assumptions!B54,"MM/DD/YYYY")),0)&gt;=DATE(2028,9,1),IFERROR(DATEVALUE(TEXT(Assumptions!B54,"MM/DD/YYYY")),0)&lt;=DATE(2028,9,30)),1,0)+IF(AND(Assumptions!B55&lt;&gt;"",IFERROR(DATEVALUE(TEXT(Assumptions!B55,"MM/DD/YYYY")),0)&gt;=DATE(2028,9,1),IFERROR(DATEVALUE(TEXT(Assumptions!B55,"MM/DD/YYYY")),0)&lt;=DATE(2028,9,30)),1,0)+IF(AND(Assumptions!B56&lt;&gt;"",IFERROR(DATEVALUE(TEXT(Assumptions!B56,"MM/DD/YYYY")),0)&gt;=DATE(2028,9,1),IFERROR(DATEVALUE(TEXT(Assumptions!B56,"MM/DD/YYYY")),0)&lt;=DATE(2028,9,30)),1,0)+IF(AND(Assumptions!B57&lt;&gt;"",IFERROR(DATEVALUE(TEXT(Assumptions!B57,"MM/DD/YYYY")),0)&gt;=DATE(2028,9,1),IFERROR(DATEVALUE(TEXT(Assumptions!B57,"MM/DD/YYYY")),0)&lt;=DATE(2028,9,30)),1,0)+IF(AND(Assumptions!B58&lt;&gt;"",IFERROR(DATEVALUE(TEXT(Assumptions!B58,"MM/DD/YYYY")),0)&gt;=DATE(2028,9,1),IFERROR(DATEVALUE(TEXT(Assumptions!B58,"MM/DD/YYYY")),0)&lt;=DATE(2028,9,30)),1,0)+IF(AND(Assumptions!B59&lt;&gt;"",IFERROR(DATEVALUE(TEXT(Assumptions!B59,"MM/DD/YYYY")),0)&gt;=DATE(2028,9,1),IFERROR(DATEVALUE(TEXT(Assumptions!B59,"MM/DD/YYYY")),0)&lt;=DATE(2028,9,30)),1,0)+IF(AND(Assumptions!B60&lt;&gt;"",IFERROR(DATEVALUE(TEXT(Assumptions!B60,"MM/DD/YYYY")),0)&gt;=DATE(2028,9,1),IFERROR(DATEVALUE(TEXT(Assumptions!B60,"MM/DD/YYYY")),0)&lt;=DATE(2028,9,30)),1,0))&gt;0,0,'Working Capital'!Z13-'Working Capital'!Y13)</f>
        <v/>
      </c>
      <c r="AA12" s="156">
        <f>IF((IF(AND(Assumptions!B51&lt;&gt;"",IFERROR(DATEVALUE(TEXT(Assumptions!B51,"MM/DD/YYYY")),0)&gt;=DATE(2028,10,1),IFERROR(DATEVALUE(TEXT(Assumptions!B51,"MM/DD/YYYY")),0)&lt;=DATE(2028,10,31)),1,0)+IF(AND(Assumptions!B52&lt;&gt;"",IFERROR(DATEVALUE(TEXT(Assumptions!B52,"MM/DD/YYYY")),0)&gt;=DATE(2028,10,1),IFERROR(DATEVALUE(TEXT(Assumptions!B52,"MM/DD/YYYY")),0)&lt;=DATE(2028,10,31)),1,0)+IF(AND(Assumptions!B53&lt;&gt;"",IFERROR(DATEVALUE(TEXT(Assumptions!B53,"MM/DD/YYYY")),0)&gt;=DATE(2028,10,1),IFERROR(DATEVALUE(TEXT(Assumptions!B53,"MM/DD/YYYY")),0)&lt;=DATE(2028,10,31)),1,0)+IF(AND(Assumptions!B54&lt;&gt;"",IFERROR(DATEVALUE(TEXT(Assumptions!B54,"MM/DD/YYYY")),0)&gt;=DATE(2028,10,1),IFERROR(DATEVALUE(TEXT(Assumptions!B54,"MM/DD/YYYY")),0)&lt;=DATE(2028,10,31)),1,0)+IF(AND(Assumptions!B55&lt;&gt;"",IFERROR(DATEVALUE(TEXT(Assumptions!B55,"MM/DD/YYYY")),0)&gt;=DATE(2028,10,1),IFERROR(DATEVALUE(TEXT(Assumptions!B55,"MM/DD/YYYY")),0)&lt;=DATE(2028,10,31)),1,0)+IF(AND(Assumptions!B56&lt;&gt;"",IFERROR(DATEVALUE(TEXT(Assumptions!B56,"MM/DD/YYYY")),0)&gt;=DATE(2028,10,1),IFERROR(DATEVALUE(TEXT(Assumptions!B56,"MM/DD/YYYY")),0)&lt;=DATE(2028,10,31)),1,0)+IF(AND(Assumptions!B57&lt;&gt;"",IFERROR(DATEVALUE(TEXT(Assumptions!B57,"MM/DD/YYYY")),0)&gt;=DATE(2028,10,1),IFERROR(DATEVALUE(TEXT(Assumptions!B57,"MM/DD/YYYY")),0)&lt;=DATE(2028,10,31)),1,0)+IF(AND(Assumptions!B58&lt;&gt;"",IFERROR(DATEVALUE(TEXT(Assumptions!B58,"MM/DD/YYYY")),0)&gt;=DATE(2028,10,1),IFERROR(DATEVALUE(TEXT(Assumptions!B58,"MM/DD/YYYY")),0)&lt;=DATE(2028,10,31)),1,0)+IF(AND(Assumptions!B59&lt;&gt;"",IFERROR(DATEVALUE(TEXT(Assumptions!B59,"MM/DD/YYYY")),0)&gt;=DATE(2028,10,1),IFERROR(DATEVALUE(TEXT(Assumptions!B59,"MM/DD/YYYY")),0)&lt;=DATE(2028,10,31)),1,0)+IF(AND(Assumptions!B60&lt;&gt;"",IFERROR(DATEVALUE(TEXT(Assumptions!B60,"MM/DD/YYYY")),0)&gt;=DATE(2028,10,1),IFERROR(DATEVALUE(TEXT(Assumptions!B60,"MM/DD/YYYY")),0)&lt;=DATE(2028,10,31)),1,0))&gt;0,0,'Working Capital'!AA13-'Working Capital'!Z13)</f>
        <v/>
      </c>
      <c r="AB12" s="156">
        <f>IF((IF(AND(Assumptions!B51&lt;&gt;"",IFERROR(DATEVALUE(TEXT(Assumptions!B51,"MM/DD/YYYY")),0)&gt;=DATE(2028,11,1),IFERROR(DATEVALUE(TEXT(Assumptions!B51,"MM/DD/YYYY")),0)&lt;=DATE(2028,11,30)),1,0)+IF(AND(Assumptions!B52&lt;&gt;"",IFERROR(DATEVALUE(TEXT(Assumptions!B52,"MM/DD/YYYY")),0)&gt;=DATE(2028,11,1),IFERROR(DATEVALUE(TEXT(Assumptions!B52,"MM/DD/YYYY")),0)&lt;=DATE(2028,11,30)),1,0)+IF(AND(Assumptions!B53&lt;&gt;"",IFERROR(DATEVALUE(TEXT(Assumptions!B53,"MM/DD/YYYY")),0)&gt;=DATE(2028,11,1),IFERROR(DATEVALUE(TEXT(Assumptions!B53,"MM/DD/YYYY")),0)&lt;=DATE(2028,11,30)),1,0)+IF(AND(Assumptions!B54&lt;&gt;"",IFERROR(DATEVALUE(TEXT(Assumptions!B54,"MM/DD/YYYY")),0)&gt;=DATE(2028,11,1),IFERROR(DATEVALUE(TEXT(Assumptions!B54,"MM/DD/YYYY")),0)&lt;=DATE(2028,11,30)),1,0)+IF(AND(Assumptions!B55&lt;&gt;"",IFERROR(DATEVALUE(TEXT(Assumptions!B55,"MM/DD/YYYY")),0)&gt;=DATE(2028,11,1),IFERROR(DATEVALUE(TEXT(Assumptions!B55,"MM/DD/YYYY")),0)&lt;=DATE(2028,11,30)),1,0)+IF(AND(Assumptions!B56&lt;&gt;"",IFERROR(DATEVALUE(TEXT(Assumptions!B56,"MM/DD/YYYY")),0)&gt;=DATE(2028,11,1),IFERROR(DATEVALUE(TEXT(Assumptions!B56,"MM/DD/YYYY")),0)&lt;=DATE(2028,11,30)),1,0)+IF(AND(Assumptions!B57&lt;&gt;"",IFERROR(DATEVALUE(TEXT(Assumptions!B57,"MM/DD/YYYY")),0)&gt;=DATE(2028,11,1),IFERROR(DATEVALUE(TEXT(Assumptions!B57,"MM/DD/YYYY")),0)&lt;=DATE(2028,11,30)),1,0)+IF(AND(Assumptions!B58&lt;&gt;"",IFERROR(DATEVALUE(TEXT(Assumptions!B58,"MM/DD/YYYY")),0)&gt;=DATE(2028,11,1),IFERROR(DATEVALUE(TEXT(Assumptions!B58,"MM/DD/YYYY")),0)&lt;=DATE(2028,11,30)),1,0)+IF(AND(Assumptions!B59&lt;&gt;"",IFERROR(DATEVALUE(TEXT(Assumptions!B59,"MM/DD/YYYY")),0)&gt;=DATE(2028,11,1),IFERROR(DATEVALUE(TEXT(Assumptions!B59,"MM/DD/YYYY")),0)&lt;=DATE(2028,11,30)),1,0)+IF(AND(Assumptions!B60&lt;&gt;"",IFERROR(DATEVALUE(TEXT(Assumptions!B60,"MM/DD/YYYY")),0)&gt;=DATE(2028,11,1),IFERROR(DATEVALUE(TEXT(Assumptions!B60,"MM/DD/YYYY")),0)&lt;=DATE(2028,11,30)),1,0))&gt;0,0,'Working Capital'!AB13-'Working Capital'!AA13)</f>
        <v/>
      </c>
      <c r="AC12" s="156">
        <f>IF((IF(AND(Assumptions!B51&lt;&gt;"",IFERROR(DATEVALUE(TEXT(Assumptions!B51,"MM/DD/YYYY")),0)&gt;=DATE(2028,12,1),IFERROR(DATEVALUE(TEXT(Assumptions!B51,"MM/DD/YYYY")),0)&lt;=DATE(2028,12,31)),1,0)+IF(AND(Assumptions!B52&lt;&gt;"",IFERROR(DATEVALUE(TEXT(Assumptions!B52,"MM/DD/YYYY")),0)&gt;=DATE(2028,12,1),IFERROR(DATEVALUE(TEXT(Assumptions!B52,"MM/DD/YYYY")),0)&lt;=DATE(2028,12,31)),1,0)+IF(AND(Assumptions!B53&lt;&gt;"",IFERROR(DATEVALUE(TEXT(Assumptions!B53,"MM/DD/YYYY")),0)&gt;=DATE(2028,12,1),IFERROR(DATEVALUE(TEXT(Assumptions!B53,"MM/DD/YYYY")),0)&lt;=DATE(2028,12,31)),1,0)+IF(AND(Assumptions!B54&lt;&gt;"",IFERROR(DATEVALUE(TEXT(Assumptions!B54,"MM/DD/YYYY")),0)&gt;=DATE(2028,12,1),IFERROR(DATEVALUE(TEXT(Assumptions!B54,"MM/DD/YYYY")),0)&lt;=DATE(2028,12,31)),1,0)+IF(AND(Assumptions!B55&lt;&gt;"",IFERROR(DATEVALUE(TEXT(Assumptions!B55,"MM/DD/YYYY")),0)&gt;=DATE(2028,12,1),IFERROR(DATEVALUE(TEXT(Assumptions!B55,"MM/DD/YYYY")),0)&lt;=DATE(2028,12,31)),1,0)+IF(AND(Assumptions!B56&lt;&gt;"",IFERROR(DATEVALUE(TEXT(Assumptions!B56,"MM/DD/YYYY")),0)&gt;=DATE(2028,12,1),IFERROR(DATEVALUE(TEXT(Assumptions!B56,"MM/DD/YYYY")),0)&lt;=DATE(2028,12,31)),1,0)+IF(AND(Assumptions!B57&lt;&gt;"",IFERROR(DATEVALUE(TEXT(Assumptions!B57,"MM/DD/YYYY")),0)&gt;=DATE(2028,12,1),IFERROR(DATEVALUE(TEXT(Assumptions!B57,"MM/DD/YYYY")),0)&lt;=DATE(2028,12,31)),1,0)+IF(AND(Assumptions!B58&lt;&gt;"",IFERROR(DATEVALUE(TEXT(Assumptions!B58,"MM/DD/YYYY")),0)&gt;=DATE(2028,12,1),IFERROR(DATEVALUE(TEXT(Assumptions!B58,"MM/DD/YYYY")),0)&lt;=DATE(2028,12,31)),1,0)+IF(AND(Assumptions!B59&lt;&gt;"",IFERROR(DATEVALUE(TEXT(Assumptions!B59,"MM/DD/YYYY")),0)&gt;=DATE(2028,12,1),IFERROR(DATEVALUE(TEXT(Assumptions!B59,"MM/DD/YYYY")),0)&lt;=DATE(2028,12,31)),1,0)+IF(AND(Assumptions!B60&lt;&gt;"",IFERROR(DATEVALUE(TEXT(Assumptions!B60,"MM/DD/YYYY")),0)&gt;=DATE(2028,12,1),IFERROR(DATEVALUE(TEXT(Assumptions!B60,"MM/DD/YYYY")),0)&lt;=DATE(2028,12,31)),1,0))&gt;0,0,'Working Capital'!AC13-'Working Capital'!AB13)</f>
        <v/>
      </c>
      <c r="AD12" s="156">
        <f>IF((IF(AND(Assumptions!B51&lt;&gt;"",IFERROR(DATEVALUE(TEXT(Assumptions!B51,"MM/DD/YYYY")),0)&gt;=DATE(2029,1,1),IFERROR(DATEVALUE(TEXT(Assumptions!B51,"MM/DD/YYYY")),0)&lt;=DATE(2029,1,31)),1,0)+IF(AND(Assumptions!B52&lt;&gt;"",IFERROR(DATEVALUE(TEXT(Assumptions!B52,"MM/DD/YYYY")),0)&gt;=DATE(2029,1,1),IFERROR(DATEVALUE(TEXT(Assumptions!B52,"MM/DD/YYYY")),0)&lt;=DATE(2029,1,31)),1,0)+IF(AND(Assumptions!B53&lt;&gt;"",IFERROR(DATEVALUE(TEXT(Assumptions!B53,"MM/DD/YYYY")),0)&gt;=DATE(2029,1,1),IFERROR(DATEVALUE(TEXT(Assumptions!B53,"MM/DD/YYYY")),0)&lt;=DATE(2029,1,31)),1,0)+IF(AND(Assumptions!B54&lt;&gt;"",IFERROR(DATEVALUE(TEXT(Assumptions!B54,"MM/DD/YYYY")),0)&gt;=DATE(2029,1,1),IFERROR(DATEVALUE(TEXT(Assumptions!B54,"MM/DD/YYYY")),0)&lt;=DATE(2029,1,31)),1,0)+IF(AND(Assumptions!B55&lt;&gt;"",IFERROR(DATEVALUE(TEXT(Assumptions!B55,"MM/DD/YYYY")),0)&gt;=DATE(2029,1,1),IFERROR(DATEVALUE(TEXT(Assumptions!B55,"MM/DD/YYYY")),0)&lt;=DATE(2029,1,31)),1,0)+IF(AND(Assumptions!B56&lt;&gt;"",IFERROR(DATEVALUE(TEXT(Assumptions!B56,"MM/DD/YYYY")),0)&gt;=DATE(2029,1,1),IFERROR(DATEVALUE(TEXT(Assumptions!B56,"MM/DD/YYYY")),0)&lt;=DATE(2029,1,31)),1,0)+IF(AND(Assumptions!B57&lt;&gt;"",IFERROR(DATEVALUE(TEXT(Assumptions!B57,"MM/DD/YYYY")),0)&gt;=DATE(2029,1,1),IFERROR(DATEVALUE(TEXT(Assumptions!B57,"MM/DD/YYYY")),0)&lt;=DATE(2029,1,31)),1,0)+IF(AND(Assumptions!B58&lt;&gt;"",IFERROR(DATEVALUE(TEXT(Assumptions!B58,"MM/DD/YYYY")),0)&gt;=DATE(2029,1,1),IFERROR(DATEVALUE(TEXT(Assumptions!B58,"MM/DD/YYYY")),0)&lt;=DATE(2029,1,31)),1,0)+IF(AND(Assumptions!B59&lt;&gt;"",IFERROR(DATEVALUE(TEXT(Assumptions!B59,"MM/DD/YYYY")),0)&gt;=DATE(2029,1,1),IFERROR(DATEVALUE(TEXT(Assumptions!B59,"MM/DD/YYYY")),0)&lt;=DATE(2029,1,31)),1,0)+IF(AND(Assumptions!B60&lt;&gt;"",IFERROR(DATEVALUE(TEXT(Assumptions!B60,"MM/DD/YYYY")),0)&gt;=DATE(2029,1,1),IFERROR(DATEVALUE(TEXT(Assumptions!B60,"MM/DD/YYYY")),0)&lt;=DATE(2029,1,31)),1,0))&gt;0,0,'Working Capital'!AD13-'Working Capital'!AC13)</f>
        <v/>
      </c>
      <c r="AE12" s="156">
        <f>IF((IF(AND(Assumptions!B51&lt;&gt;"",IFERROR(DATEVALUE(TEXT(Assumptions!B51,"MM/DD/YYYY")),0)&gt;=DATE(2029,2,1),IFERROR(DATEVALUE(TEXT(Assumptions!B51,"MM/DD/YYYY")),0)&lt;=DATE(2029,2,28)),1,0)+IF(AND(Assumptions!B52&lt;&gt;"",IFERROR(DATEVALUE(TEXT(Assumptions!B52,"MM/DD/YYYY")),0)&gt;=DATE(2029,2,1),IFERROR(DATEVALUE(TEXT(Assumptions!B52,"MM/DD/YYYY")),0)&lt;=DATE(2029,2,28)),1,0)+IF(AND(Assumptions!B53&lt;&gt;"",IFERROR(DATEVALUE(TEXT(Assumptions!B53,"MM/DD/YYYY")),0)&gt;=DATE(2029,2,1),IFERROR(DATEVALUE(TEXT(Assumptions!B53,"MM/DD/YYYY")),0)&lt;=DATE(2029,2,28)),1,0)+IF(AND(Assumptions!B54&lt;&gt;"",IFERROR(DATEVALUE(TEXT(Assumptions!B54,"MM/DD/YYYY")),0)&gt;=DATE(2029,2,1),IFERROR(DATEVALUE(TEXT(Assumptions!B54,"MM/DD/YYYY")),0)&lt;=DATE(2029,2,28)),1,0)+IF(AND(Assumptions!B55&lt;&gt;"",IFERROR(DATEVALUE(TEXT(Assumptions!B55,"MM/DD/YYYY")),0)&gt;=DATE(2029,2,1),IFERROR(DATEVALUE(TEXT(Assumptions!B55,"MM/DD/YYYY")),0)&lt;=DATE(2029,2,28)),1,0)+IF(AND(Assumptions!B56&lt;&gt;"",IFERROR(DATEVALUE(TEXT(Assumptions!B56,"MM/DD/YYYY")),0)&gt;=DATE(2029,2,1),IFERROR(DATEVALUE(TEXT(Assumptions!B56,"MM/DD/YYYY")),0)&lt;=DATE(2029,2,28)),1,0)+IF(AND(Assumptions!B57&lt;&gt;"",IFERROR(DATEVALUE(TEXT(Assumptions!B57,"MM/DD/YYYY")),0)&gt;=DATE(2029,2,1),IFERROR(DATEVALUE(TEXT(Assumptions!B57,"MM/DD/YYYY")),0)&lt;=DATE(2029,2,28)),1,0)+IF(AND(Assumptions!B58&lt;&gt;"",IFERROR(DATEVALUE(TEXT(Assumptions!B58,"MM/DD/YYYY")),0)&gt;=DATE(2029,2,1),IFERROR(DATEVALUE(TEXT(Assumptions!B58,"MM/DD/YYYY")),0)&lt;=DATE(2029,2,28)),1,0)+IF(AND(Assumptions!B59&lt;&gt;"",IFERROR(DATEVALUE(TEXT(Assumptions!B59,"MM/DD/YYYY")),0)&gt;=DATE(2029,2,1),IFERROR(DATEVALUE(TEXT(Assumptions!B59,"MM/DD/YYYY")),0)&lt;=DATE(2029,2,28)),1,0)+IF(AND(Assumptions!B60&lt;&gt;"",IFERROR(DATEVALUE(TEXT(Assumptions!B60,"MM/DD/YYYY")),0)&gt;=DATE(2029,2,1),IFERROR(DATEVALUE(TEXT(Assumptions!B60,"MM/DD/YYYY")),0)&lt;=DATE(2029,2,28)),1,0))&gt;0,0,'Working Capital'!AE13-'Working Capital'!AD13)</f>
        <v/>
      </c>
      <c r="AF12" s="156">
        <f>IF((IF(AND(Assumptions!B51&lt;&gt;"",IFERROR(DATEVALUE(TEXT(Assumptions!B51,"MM/DD/YYYY")),0)&gt;=DATE(2029,3,1),IFERROR(DATEVALUE(TEXT(Assumptions!B51,"MM/DD/YYYY")),0)&lt;=DATE(2029,3,31)),1,0)+IF(AND(Assumptions!B52&lt;&gt;"",IFERROR(DATEVALUE(TEXT(Assumptions!B52,"MM/DD/YYYY")),0)&gt;=DATE(2029,3,1),IFERROR(DATEVALUE(TEXT(Assumptions!B52,"MM/DD/YYYY")),0)&lt;=DATE(2029,3,31)),1,0)+IF(AND(Assumptions!B53&lt;&gt;"",IFERROR(DATEVALUE(TEXT(Assumptions!B53,"MM/DD/YYYY")),0)&gt;=DATE(2029,3,1),IFERROR(DATEVALUE(TEXT(Assumptions!B53,"MM/DD/YYYY")),0)&lt;=DATE(2029,3,31)),1,0)+IF(AND(Assumptions!B54&lt;&gt;"",IFERROR(DATEVALUE(TEXT(Assumptions!B54,"MM/DD/YYYY")),0)&gt;=DATE(2029,3,1),IFERROR(DATEVALUE(TEXT(Assumptions!B54,"MM/DD/YYYY")),0)&lt;=DATE(2029,3,31)),1,0)+IF(AND(Assumptions!B55&lt;&gt;"",IFERROR(DATEVALUE(TEXT(Assumptions!B55,"MM/DD/YYYY")),0)&gt;=DATE(2029,3,1),IFERROR(DATEVALUE(TEXT(Assumptions!B55,"MM/DD/YYYY")),0)&lt;=DATE(2029,3,31)),1,0)+IF(AND(Assumptions!B56&lt;&gt;"",IFERROR(DATEVALUE(TEXT(Assumptions!B56,"MM/DD/YYYY")),0)&gt;=DATE(2029,3,1),IFERROR(DATEVALUE(TEXT(Assumptions!B56,"MM/DD/YYYY")),0)&lt;=DATE(2029,3,31)),1,0)+IF(AND(Assumptions!B57&lt;&gt;"",IFERROR(DATEVALUE(TEXT(Assumptions!B57,"MM/DD/YYYY")),0)&gt;=DATE(2029,3,1),IFERROR(DATEVALUE(TEXT(Assumptions!B57,"MM/DD/YYYY")),0)&lt;=DATE(2029,3,31)),1,0)+IF(AND(Assumptions!B58&lt;&gt;"",IFERROR(DATEVALUE(TEXT(Assumptions!B58,"MM/DD/YYYY")),0)&gt;=DATE(2029,3,1),IFERROR(DATEVALUE(TEXT(Assumptions!B58,"MM/DD/YYYY")),0)&lt;=DATE(2029,3,31)),1,0)+IF(AND(Assumptions!B59&lt;&gt;"",IFERROR(DATEVALUE(TEXT(Assumptions!B59,"MM/DD/YYYY")),0)&gt;=DATE(2029,3,1),IFERROR(DATEVALUE(TEXT(Assumptions!B59,"MM/DD/YYYY")),0)&lt;=DATE(2029,3,31)),1,0)+IF(AND(Assumptions!B60&lt;&gt;"",IFERROR(DATEVALUE(TEXT(Assumptions!B60,"MM/DD/YYYY")),0)&gt;=DATE(2029,3,1),IFERROR(DATEVALUE(TEXT(Assumptions!B60,"MM/DD/YYYY")),0)&lt;=DATE(2029,3,31)),1,0))&gt;0,0,'Working Capital'!AF13-'Working Capital'!AE13)</f>
        <v/>
      </c>
      <c r="AG12" s="156">
        <f>IF((IF(AND(Assumptions!B51&lt;&gt;"",IFERROR(DATEVALUE(TEXT(Assumptions!B51,"MM/DD/YYYY")),0)&gt;=DATE(2029,4,1),IFERROR(DATEVALUE(TEXT(Assumptions!B51,"MM/DD/YYYY")),0)&lt;=DATE(2029,4,30)),1,0)+IF(AND(Assumptions!B52&lt;&gt;"",IFERROR(DATEVALUE(TEXT(Assumptions!B52,"MM/DD/YYYY")),0)&gt;=DATE(2029,4,1),IFERROR(DATEVALUE(TEXT(Assumptions!B52,"MM/DD/YYYY")),0)&lt;=DATE(2029,4,30)),1,0)+IF(AND(Assumptions!B53&lt;&gt;"",IFERROR(DATEVALUE(TEXT(Assumptions!B53,"MM/DD/YYYY")),0)&gt;=DATE(2029,4,1),IFERROR(DATEVALUE(TEXT(Assumptions!B53,"MM/DD/YYYY")),0)&lt;=DATE(2029,4,30)),1,0)+IF(AND(Assumptions!B54&lt;&gt;"",IFERROR(DATEVALUE(TEXT(Assumptions!B54,"MM/DD/YYYY")),0)&gt;=DATE(2029,4,1),IFERROR(DATEVALUE(TEXT(Assumptions!B54,"MM/DD/YYYY")),0)&lt;=DATE(2029,4,30)),1,0)+IF(AND(Assumptions!B55&lt;&gt;"",IFERROR(DATEVALUE(TEXT(Assumptions!B55,"MM/DD/YYYY")),0)&gt;=DATE(2029,4,1),IFERROR(DATEVALUE(TEXT(Assumptions!B55,"MM/DD/YYYY")),0)&lt;=DATE(2029,4,30)),1,0)+IF(AND(Assumptions!B56&lt;&gt;"",IFERROR(DATEVALUE(TEXT(Assumptions!B56,"MM/DD/YYYY")),0)&gt;=DATE(2029,4,1),IFERROR(DATEVALUE(TEXT(Assumptions!B56,"MM/DD/YYYY")),0)&lt;=DATE(2029,4,30)),1,0)+IF(AND(Assumptions!B57&lt;&gt;"",IFERROR(DATEVALUE(TEXT(Assumptions!B57,"MM/DD/YYYY")),0)&gt;=DATE(2029,4,1),IFERROR(DATEVALUE(TEXT(Assumptions!B57,"MM/DD/YYYY")),0)&lt;=DATE(2029,4,30)),1,0)+IF(AND(Assumptions!B58&lt;&gt;"",IFERROR(DATEVALUE(TEXT(Assumptions!B58,"MM/DD/YYYY")),0)&gt;=DATE(2029,4,1),IFERROR(DATEVALUE(TEXT(Assumptions!B58,"MM/DD/YYYY")),0)&lt;=DATE(2029,4,30)),1,0)+IF(AND(Assumptions!B59&lt;&gt;"",IFERROR(DATEVALUE(TEXT(Assumptions!B59,"MM/DD/YYYY")),0)&gt;=DATE(2029,4,1),IFERROR(DATEVALUE(TEXT(Assumptions!B59,"MM/DD/YYYY")),0)&lt;=DATE(2029,4,30)),1,0)+IF(AND(Assumptions!B60&lt;&gt;"",IFERROR(DATEVALUE(TEXT(Assumptions!B60,"MM/DD/YYYY")),0)&gt;=DATE(2029,4,1),IFERROR(DATEVALUE(TEXT(Assumptions!B60,"MM/DD/YYYY")),0)&lt;=DATE(2029,4,30)),1,0))&gt;0,0,'Working Capital'!AG13-'Working Capital'!AF13)</f>
        <v/>
      </c>
      <c r="AH12" s="156">
        <f>IF((IF(AND(Assumptions!B51&lt;&gt;"",IFERROR(DATEVALUE(TEXT(Assumptions!B51,"MM/DD/YYYY")),0)&gt;=DATE(2029,5,1),IFERROR(DATEVALUE(TEXT(Assumptions!B51,"MM/DD/YYYY")),0)&lt;=DATE(2029,5,31)),1,0)+IF(AND(Assumptions!B52&lt;&gt;"",IFERROR(DATEVALUE(TEXT(Assumptions!B52,"MM/DD/YYYY")),0)&gt;=DATE(2029,5,1),IFERROR(DATEVALUE(TEXT(Assumptions!B52,"MM/DD/YYYY")),0)&lt;=DATE(2029,5,31)),1,0)+IF(AND(Assumptions!B53&lt;&gt;"",IFERROR(DATEVALUE(TEXT(Assumptions!B53,"MM/DD/YYYY")),0)&gt;=DATE(2029,5,1),IFERROR(DATEVALUE(TEXT(Assumptions!B53,"MM/DD/YYYY")),0)&lt;=DATE(2029,5,31)),1,0)+IF(AND(Assumptions!B54&lt;&gt;"",IFERROR(DATEVALUE(TEXT(Assumptions!B54,"MM/DD/YYYY")),0)&gt;=DATE(2029,5,1),IFERROR(DATEVALUE(TEXT(Assumptions!B54,"MM/DD/YYYY")),0)&lt;=DATE(2029,5,31)),1,0)+IF(AND(Assumptions!B55&lt;&gt;"",IFERROR(DATEVALUE(TEXT(Assumptions!B55,"MM/DD/YYYY")),0)&gt;=DATE(2029,5,1),IFERROR(DATEVALUE(TEXT(Assumptions!B55,"MM/DD/YYYY")),0)&lt;=DATE(2029,5,31)),1,0)+IF(AND(Assumptions!B56&lt;&gt;"",IFERROR(DATEVALUE(TEXT(Assumptions!B56,"MM/DD/YYYY")),0)&gt;=DATE(2029,5,1),IFERROR(DATEVALUE(TEXT(Assumptions!B56,"MM/DD/YYYY")),0)&lt;=DATE(2029,5,31)),1,0)+IF(AND(Assumptions!B57&lt;&gt;"",IFERROR(DATEVALUE(TEXT(Assumptions!B57,"MM/DD/YYYY")),0)&gt;=DATE(2029,5,1),IFERROR(DATEVALUE(TEXT(Assumptions!B57,"MM/DD/YYYY")),0)&lt;=DATE(2029,5,31)),1,0)+IF(AND(Assumptions!B58&lt;&gt;"",IFERROR(DATEVALUE(TEXT(Assumptions!B58,"MM/DD/YYYY")),0)&gt;=DATE(2029,5,1),IFERROR(DATEVALUE(TEXT(Assumptions!B58,"MM/DD/YYYY")),0)&lt;=DATE(2029,5,31)),1,0)+IF(AND(Assumptions!B59&lt;&gt;"",IFERROR(DATEVALUE(TEXT(Assumptions!B59,"MM/DD/YYYY")),0)&gt;=DATE(2029,5,1),IFERROR(DATEVALUE(TEXT(Assumptions!B59,"MM/DD/YYYY")),0)&lt;=DATE(2029,5,31)),1,0)+IF(AND(Assumptions!B60&lt;&gt;"",IFERROR(DATEVALUE(TEXT(Assumptions!B60,"MM/DD/YYYY")),0)&gt;=DATE(2029,5,1),IFERROR(DATEVALUE(TEXT(Assumptions!B60,"MM/DD/YYYY")),0)&lt;=DATE(2029,5,31)),1,0))&gt;0,0,'Working Capital'!AH13-'Working Capital'!AG13)</f>
        <v/>
      </c>
      <c r="AI12" s="156">
        <f>IF((IF(AND(Assumptions!B51&lt;&gt;"",IFERROR(DATEVALUE(TEXT(Assumptions!B51,"MM/DD/YYYY")),0)&gt;=DATE(2029,6,1),IFERROR(DATEVALUE(TEXT(Assumptions!B51,"MM/DD/YYYY")),0)&lt;=DATE(2029,6,30)),1,0)+IF(AND(Assumptions!B52&lt;&gt;"",IFERROR(DATEVALUE(TEXT(Assumptions!B52,"MM/DD/YYYY")),0)&gt;=DATE(2029,6,1),IFERROR(DATEVALUE(TEXT(Assumptions!B52,"MM/DD/YYYY")),0)&lt;=DATE(2029,6,30)),1,0)+IF(AND(Assumptions!B53&lt;&gt;"",IFERROR(DATEVALUE(TEXT(Assumptions!B53,"MM/DD/YYYY")),0)&gt;=DATE(2029,6,1),IFERROR(DATEVALUE(TEXT(Assumptions!B53,"MM/DD/YYYY")),0)&lt;=DATE(2029,6,30)),1,0)+IF(AND(Assumptions!B54&lt;&gt;"",IFERROR(DATEVALUE(TEXT(Assumptions!B54,"MM/DD/YYYY")),0)&gt;=DATE(2029,6,1),IFERROR(DATEVALUE(TEXT(Assumptions!B54,"MM/DD/YYYY")),0)&lt;=DATE(2029,6,30)),1,0)+IF(AND(Assumptions!B55&lt;&gt;"",IFERROR(DATEVALUE(TEXT(Assumptions!B55,"MM/DD/YYYY")),0)&gt;=DATE(2029,6,1),IFERROR(DATEVALUE(TEXT(Assumptions!B55,"MM/DD/YYYY")),0)&lt;=DATE(2029,6,30)),1,0)+IF(AND(Assumptions!B56&lt;&gt;"",IFERROR(DATEVALUE(TEXT(Assumptions!B56,"MM/DD/YYYY")),0)&gt;=DATE(2029,6,1),IFERROR(DATEVALUE(TEXT(Assumptions!B56,"MM/DD/YYYY")),0)&lt;=DATE(2029,6,30)),1,0)+IF(AND(Assumptions!B57&lt;&gt;"",IFERROR(DATEVALUE(TEXT(Assumptions!B57,"MM/DD/YYYY")),0)&gt;=DATE(2029,6,1),IFERROR(DATEVALUE(TEXT(Assumptions!B57,"MM/DD/YYYY")),0)&lt;=DATE(2029,6,30)),1,0)+IF(AND(Assumptions!B58&lt;&gt;"",IFERROR(DATEVALUE(TEXT(Assumptions!B58,"MM/DD/YYYY")),0)&gt;=DATE(2029,6,1),IFERROR(DATEVALUE(TEXT(Assumptions!B58,"MM/DD/YYYY")),0)&lt;=DATE(2029,6,30)),1,0)+IF(AND(Assumptions!B59&lt;&gt;"",IFERROR(DATEVALUE(TEXT(Assumptions!B59,"MM/DD/YYYY")),0)&gt;=DATE(2029,6,1),IFERROR(DATEVALUE(TEXT(Assumptions!B59,"MM/DD/YYYY")),0)&lt;=DATE(2029,6,30)),1,0)+IF(AND(Assumptions!B60&lt;&gt;"",IFERROR(DATEVALUE(TEXT(Assumptions!B60,"MM/DD/YYYY")),0)&gt;=DATE(2029,6,1),IFERROR(DATEVALUE(TEXT(Assumptions!B60,"MM/DD/YYYY")),0)&lt;=DATE(2029,6,30)),1,0))&gt;0,0,'Working Capital'!AI13-'Working Capital'!AH13)</f>
        <v/>
      </c>
      <c r="AJ12" s="156">
        <f>IF((IF(AND(Assumptions!B51&lt;&gt;"",IFERROR(DATEVALUE(TEXT(Assumptions!B51,"MM/DD/YYYY")),0)&gt;=DATE(2029,7,1),IFERROR(DATEVALUE(TEXT(Assumptions!B51,"MM/DD/YYYY")),0)&lt;=DATE(2029,7,31)),1,0)+IF(AND(Assumptions!B52&lt;&gt;"",IFERROR(DATEVALUE(TEXT(Assumptions!B52,"MM/DD/YYYY")),0)&gt;=DATE(2029,7,1),IFERROR(DATEVALUE(TEXT(Assumptions!B52,"MM/DD/YYYY")),0)&lt;=DATE(2029,7,31)),1,0)+IF(AND(Assumptions!B53&lt;&gt;"",IFERROR(DATEVALUE(TEXT(Assumptions!B53,"MM/DD/YYYY")),0)&gt;=DATE(2029,7,1),IFERROR(DATEVALUE(TEXT(Assumptions!B53,"MM/DD/YYYY")),0)&lt;=DATE(2029,7,31)),1,0)+IF(AND(Assumptions!B54&lt;&gt;"",IFERROR(DATEVALUE(TEXT(Assumptions!B54,"MM/DD/YYYY")),0)&gt;=DATE(2029,7,1),IFERROR(DATEVALUE(TEXT(Assumptions!B54,"MM/DD/YYYY")),0)&lt;=DATE(2029,7,31)),1,0)+IF(AND(Assumptions!B55&lt;&gt;"",IFERROR(DATEVALUE(TEXT(Assumptions!B55,"MM/DD/YYYY")),0)&gt;=DATE(2029,7,1),IFERROR(DATEVALUE(TEXT(Assumptions!B55,"MM/DD/YYYY")),0)&lt;=DATE(2029,7,31)),1,0)+IF(AND(Assumptions!B56&lt;&gt;"",IFERROR(DATEVALUE(TEXT(Assumptions!B56,"MM/DD/YYYY")),0)&gt;=DATE(2029,7,1),IFERROR(DATEVALUE(TEXT(Assumptions!B56,"MM/DD/YYYY")),0)&lt;=DATE(2029,7,31)),1,0)+IF(AND(Assumptions!B57&lt;&gt;"",IFERROR(DATEVALUE(TEXT(Assumptions!B57,"MM/DD/YYYY")),0)&gt;=DATE(2029,7,1),IFERROR(DATEVALUE(TEXT(Assumptions!B57,"MM/DD/YYYY")),0)&lt;=DATE(2029,7,31)),1,0)+IF(AND(Assumptions!B58&lt;&gt;"",IFERROR(DATEVALUE(TEXT(Assumptions!B58,"MM/DD/YYYY")),0)&gt;=DATE(2029,7,1),IFERROR(DATEVALUE(TEXT(Assumptions!B58,"MM/DD/YYYY")),0)&lt;=DATE(2029,7,31)),1,0)+IF(AND(Assumptions!B59&lt;&gt;"",IFERROR(DATEVALUE(TEXT(Assumptions!B59,"MM/DD/YYYY")),0)&gt;=DATE(2029,7,1),IFERROR(DATEVALUE(TEXT(Assumptions!B59,"MM/DD/YYYY")),0)&lt;=DATE(2029,7,31)),1,0)+IF(AND(Assumptions!B60&lt;&gt;"",IFERROR(DATEVALUE(TEXT(Assumptions!B60,"MM/DD/YYYY")),0)&gt;=DATE(2029,7,1),IFERROR(DATEVALUE(TEXT(Assumptions!B60,"MM/DD/YYYY")),0)&lt;=DATE(2029,7,31)),1,0))&gt;0,0,'Working Capital'!AJ13-'Working Capital'!AI13)</f>
        <v/>
      </c>
      <c r="AK12" s="156">
        <f>IF((IF(AND(Assumptions!B51&lt;&gt;"",IFERROR(DATEVALUE(TEXT(Assumptions!B51,"MM/DD/YYYY")),0)&gt;=DATE(2029,8,1),IFERROR(DATEVALUE(TEXT(Assumptions!B51,"MM/DD/YYYY")),0)&lt;=DATE(2029,8,31)),1,0)+IF(AND(Assumptions!B52&lt;&gt;"",IFERROR(DATEVALUE(TEXT(Assumptions!B52,"MM/DD/YYYY")),0)&gt;=DATE(2029,8,1),IFERROR(DATEVALUE(TEXT(Assumptions!B52,"MM/DD/YYYY")),0)&lt;=DATE(2029,8,31)),1,0)+IF(AND(Assumptions!B53&lt;&gt;"",IFERROR(DATEVALUE(TEXT(Assumptions!B53,"MM/DD/YYYY")),0)&gt;=DATE(2029,8,1),IFERROR(DATEVALUE(TEXT(Assumptions!B53,"MM/DD/YYYY")),0)&lt;=DATE(2029,8,31)),1,0)+IF(AND(Assumptions!B54&lt;&gt;"",IFERROR(DATEVALUE(TEXT(Assumptions!B54,"MM/DD/YYYY")),0)&gt;=DATE(2029,8,1),IFERROR(DATEVALUE(TEXT(Assumptions!B54,"MM/DD/YYYY")),0)&lt;=DATE(2029,8,31)),1,0)+IF(AND(Assumptions!B55&lt;&gt;"",IFERROR(DATEVALUE(TEXT(Assumptions!B55,"MM/DD/YYYY")),0)&gt;=DATE(2029,8,1),IFERROR(DATEVALUE(TEXT(Assumptions!B55,"MM/DD/YYYY")),0)&lt;=DATE(2029,8,31)),1,0)+IF(AND(Assumptions!B56&lt;&gt;"",IFERROR(DATEVALUE(TEXT(Assumptions!B56,"MM/DD/YYYY")),0)&gt;=DATE(2029,8,1),IFERROR(DATEVALUE(TEXT(Assumptions!B56,"MM/DD/YYYY")),0)&lt;=DATE(2029,8,31)),1,0)+IF(AND(Assumptions!B57&lt;&gt;"",IFERROR(DATEVALUE(TEXT(Assumptions!B57,"MM/DD/YYYY")),0)&gt;=DATE(2029,8,1),IFERROR(DATEVALUE(TEXT(Assumptions!B57,"MM/DD/YYYY")),0)&lt;=DATE(2029,8,31)),1,0)+IF(AND(Assumptions!B58&lt;&gt;"",IFERROR(DATEVALUE(TEXT(Assumptions!B58,"MM/DD/YYYY")),0)&gt;=DATE(2029,8,1),IFERROR(DATEVALUE(TEXT(Assumptions!B58,"MM/DD/YYYY")),0)&lt;=DATE(2029,8,31)),1,0)+IF(AND(Assumptions!B59&lt;&gt;"",IFERROR(DATEVALUE(TEXT(Assumptions!B59,"MM/DD/YYYY")),0)&gt;=DATE(2029,8,1),IFERROR(DATEVALUE(TEXT(Assumptions!B59,"MM/DD/YYYY")),0)&lt;=DATE(2029,8,31)),1,0)+IF(AND(Assumptions!B60&lt;&gt;"",IFERROR(DATEVALUE(TEXT(Assumptions!B60,"MM/DD/YYYY")),0)&gt;=DATE(2029,8,1),IFERROR(DATEVALUE(TEXT(Assumptions!B60,"MM/DD/YYYY")),0)&lt;=DATE(2029,8,31)),1,0))&gt;0,0,'Working Capital'!AK13-'Working Capital'!AJ13)</f>
        <v/>
      </c>
      <c r="AL12" s="156">
        <f>IF((IF(AND(Assumptions!B51&lt;&gt;"",IFERROR(DATEVALUE(TEXT(Assumptions!B51,"MM/DD/YYYY")),0)&gt;=DATE(2029,9,1),IFERROR(DATEVALUE(TEXT(Assumptions!B51,"MM/DD/YYYY")),0)&lt;=DATE(2029,9,30)),1,0)+IF(AND(Assumptions!B52&lt;&gt;"",IFERROR(DATEVALUE(TEXT(Assumptions!B52,"MM/DD/YYYY")),0)&gt;=DATE(2029,9,1),IFERROR(DATEVALUE(TEXT(Assumptions!B52,"MM/DD/YYYY")),0)&lt;=DATE(2029,9,30)),1,0)+IF(AND(Assumptions!B53&lt;&gt;"",IFERROR(DATEVALUE(TEXT(Assumptions!B53,"MM/DD/YYYY")),0)&gt;=DATE(2029,9,1),IFERROR(DATEVALUE(TEXT(Assumptions!B53,"MM/DD/YYYY")),0)&lt;=DATE(2029,9,30)),1,0)+IF(AND(Assumptions!B54&lt;&gt;"",IFERROR(DATEVALUE(TEXT(Assumptions!B54,"MM/DD/YYYY")),0)&gt;=DATE(2029,9,1),IFERROR(DATEVALUE(TEXT(Assumptions!B54,"MM/DD/YYYY")),0)&lt;=DATE(2029,9,30)),1,0)+IF(AND(Assumptions!B55&lt;&gt;"",IFERROR(DATEVALUE(TEXT(Assumptions!B55,"MM/DD/YYYY")),0)&gt;=DATE(2029,9,1),IFERROR(DATEVALUE(TEXT(Assumptions!B55,"MM/DD/YYYY")),0)&lt;=DATE(2029,9,30)),1,0)+IF(AND(Assumptions!B56&lt;&gt;"",IFERROR(DATEVALUE(TEXT(Assumptions!B56,"MM/DD/YYYY")),0)&gt;=DATE(2029,9,1),IFERROR(DATEVALUE(TEXT(Assumptions!B56,"MM/DD/YYYY")),0)&lt;=DATE(2029,9,30)),1,0)+IF(AND(Assumptions!B57&lt;&gt;"",IFERROR(DATEVALUE(TEXT(Assumptions!B57,"MM/DD/YYYY")),0)&gt;=DATE(2029,9,1),IFERROR(DATEVALUE(TEXT(Assumptions!B57,"MM/DD/YYYY")),0)&lt;=DATE(2029,9,30)),1,0)+IF(AND(Assumptions!B58&lt;&gt;"",IFERROR(DATEVALUE(TEXT(Assumptions!B58,"MM/DD/YYYY")),0)&gt;=DATE(2029,9,1),IFERROR(DATEVALUE(TEXT(Assumptions!B58,"MM/DD/YYYY")),0)&lt;=DATE(2029,9,30)),1,0)+IF(AND(Assumptions!B59&lt;&gt;"",IFERROR(DATEVALUE(TEXT(Assumptions!B59,"MM/DD/YYYY")),0)&gt;=DATE(2029,9,1),IFERROR(DATEVALUE(TEXT(Assumptions!B59,"MM/DD/YYYY")),0)&lt;=DATE(2029,9,30)),1,0)+IF(AND(Assumptions!B60&lt;&gt;"",IFERROR(DATEVALUE(TEXT(Assumptions!B60,"MM/DD/YYYY")),0)&gt;=DATE(2029,9,1),IFERROR(DATEVALUE(TEXT(Assumptions!B60,"MM/DD/YYYY")),0)&lt;=DATE(2029,9,30)),1,0))&gt;0,0,'Working Capital'!AL13-'Working Capital'!AK13)</f>
        <v/>
      </c>
      <c r="AM12" s="156">
        <f>IF((IF(AND(Assumptions!B51&lt;&gt;"",IFERROR(DATEVALUE(TEXT(Assumptions!B51,"MM/DD/YYYY")),0)&gt;=DATE(2029,10,1),IFERROR(DATEVALUE(TEXT(Assumptions!B51,"MM/DD/YYYY")),0)&lt;=DATE(2029,10,31)),1,0)+IF(AND(Assumptions!B52&lt;&gt;"",IFERROR(DATEVALUE(TEXT(Assumptions!B52,"MM/DD/YYYY")),0)&gt;=DATE(2029,10,1),IFERROR(DATEVALUE(TEXT(Assumptions!B52,"MM/DD/YYYY")),0)&lt;=DATE(2029,10,31)),1,0)+IF(AND(Assumptions!B53&lt;&gt;"",IFERROR(DATEVALUE(TEXT(Assumptions!B53,"MM/DD/YYYY")),0)&gt;=DATE(2029,10,1),IFERROR(DATEVALUE(TEXT(Assumptions!B53,"MM/DD/YYYY")),0)&lt;=DATE(2029,10,31)),1,0)+IF(AND(Assumptions!B54&lt;&gt;"",IFERROR(DATEVALUE(TEXT(Assumptions!B54,"MM/DD/YYYY")),0)&gt;=DATE(2029,10,1),IFERROR(DATEVALUE(TEXT(Assumptions!B54,"MM/DD/YYYY")),0)&lt;=DATE(2029,10,31)),1,0)+IF(AND(Assumptions!B55&lt;&gt;"",IFERROR(DATEVALUE(TEXT(Assumptions!B55,"MM/DD/YYYY")),0)&gt;=DATE(2029,10,1),IFERROR(DATEVALUE(TEXT(Assumptions!B55,"MM/DD/YYYY")),0)&lt;=DATE(2029,10,31)),1,0)+IF(AND(Assumptions!B56&lt;&gt;"",IFERROR(DATEVALUE(TEXT(Assumptions!B56,"MM/DD/YYYY")),0)&gt;=DATE(2029,10,1),IFERROR(DATEVALUE(TEXT(Assumptions!B56,"MM/DD/YYYY")),0)&lt;=DATE(2029,10,31)),1,0)+IF(AND(Assumptions!B57&lt;&gt;"",IFERROR(DATEVALUE(TEXT(Assumptions!B57,"MM/DD/YYYY")),0)&gt;=DATE(2029,10,1),IFERROR(DATEVALUE(TEXT(Assumptions!B57,"MM/DD/YYYY")),0)&lt;=DATE(2029,10,31)),1,0)+IF(AND(Assumptions!B58&lt;&gt;"",IFERROR(DATEVALUE(TEXT(Assumptions!B58,"MM/DD/YYYY")),0)&gt;=DATE(2029,10,1),IFERROR(DATEVALUE(TEXT(Assumptions!B58,"MM/DD/YYYY")),0)&lt;=DATE(2029,10,31)),1,0)+IF(AND(Assumptions!B59&lt;&gt;"",IFERROR(DATEVALUE(TEXT(Assumptions!B59,"MM/DD/YYYY")),0)&gt;=DATE(2029,10,1),IFERROR(DATEVALUE(TEXT(Assumptions!B59,"MM/DD/YYYY")),0)&lt;=DATE(2029,10,31)),1,0)+IF(AND(Assumptions!B60&lt;&gt;"",IFERROR(DATEVALUE(TEXT(Assumptions!B60,"MM/DD/YYYY")),0)&gt;=DATE(2029,10,1),IFERROR(DATEVALUE(TEXT(Assumptions!B60,"MM/DD/YYYY")),0)&lt;=DATE(2029,10,31)),1,0))&gt;0,0,'Working Capital'!AM13-'Working Capital'!AL13)</f>
        <v/>
      </c>
      <c r="AN12" s="156">
        <f>IF((IF(AND(Assumptions!B51&lt;&gt;"",IFERROR(DATEVALUE(TEXT(Assumptions!B51,"MM/DD/YYYY")),0)&gt;=DATE(2029,11,1),IFERROR(DATEVALUE(TEXT(Assumptions!B51,"MM/DD/YYYY")),0)&lt;=DATE(2029,11,30)),1,0)+IF(AND(Assumptions!B52&lt;&gt;"",IFERROR(DATEVALUE(TEXT(Assumptions!B52,"MM/DD/YYYY")),0)&gt;=DATE(2029,11,1),IFERROR(DATEVALUE(TEXT(Assumptions!B52,"MM/DD/YYYY")),0)&lt;=DATE(2029,11,30)),1,0)+IF(AND(Assumptions!B53&lt;&gt;"",IFERROR(DATEVALUE(TEXT(Assumptions!B53,"MM/DD/YYYY")),0)&gt;=DATE(2029,11,1),IFERROR(DATEVALUE(TEXT(Assumptions!B53,"MM/DD/YYYY")),0)&lt;=DATE(2029,11,30)),1,0)+IF(AND(Assumptions!B54&lt;&gt;"",IFERROR(DATEVALUE(TEXT(Assumptions!B54,"MM/DD/YYYY")),0)&gt;=DATE(2029,11,1),IFERROR(DATEVALUE(TEXT(Assumptions!B54,"MM/DD/YYYY")),0)&lt;=DATE(2029,11,30)),1,0)+IF(AND(Assumptions!B55&lt;&gt;"",IFERROR(DATEVALUE(TEXT(Assumptions!B55,"MM/DD/YYYY")),0)&gt;=DATE(2029,11,1),IFERROR(DATEVALUE(TEXT(Assumptions!B55,"MM/DD/YYYY")),0)&lt;=DATE(2029,11,30)),1,0)+IF(AND(Assumptions!B56&lt;&gt;"",IFERROR(DATEVALUE(TEXT(Assumptions!B56,"MM/DD/YYYY")),0)&gt;=DATE(2029,11,1),IFERROR(DATEVALUE(TEXT(Assumptions!B56,"MM/DD/YYYY")),0)&lt;=DATE(2029,11,30)),1,0)+IF(AND(Assumptions!B57&lt;&gt;"",IFERROR(DATEVALUE(TEXT(Assumptions!B57,"MM/DD/YYYY")),0)&gt;=DATE(2029,11,1),IFERROR(DATEVALUE(TEXT(Assumptions!B57,"MM/DD/YYYY")),0)&lt;=DATE(2029,11,30)),1,0)+IF(AND(Assumptions!B58&lt;&gt;"",IFERROR(DATEVALUE(TEXT(Assumptions!B58,"MM/DD/YYYY")),0)&gt;=DATE(2029,11,1),IFERROR(DATEVALUE(TEXT(Assumptions!B58,"MM/DD/YYYY")),0)&lt;=DATE(2029,11,30)),1,0)+IF(AND(Assumptions!B59&lt;&gt;"",IFERROR(DATEVALUE(TEXT(Assumptions!B59,"MM/DD/YYYY")),0)&gt;=DATE(2029,11,1),IFERROR(DATEVALUE(TEXT(Assumptions!B59,"MM/DD/YYYY")),0)&lt;=DATE(2029,11,30)),1,0)+IF(AND(Assumptions!B60&lt;&gt;"",IFERROR(DATEVALUE(TEXT(Assumptions!B60,"MM/DD/YYYY")),0)&gt;=DATE(2029,11,1),IFERROR(DATEVALUE(TEXT(Assumptions!B60,"MM/DD/YYYY")),0)&lt;=DATE(2029,11,30)),1,0))&gt;0,0,'Working Capital'!AN13-'Working Capital'!AM13)</f>
        <v/>
      </c>
      <c r="AO12" s="156">
        <f>IF((IF(AND(Assumptions!B51&lt;&gt;"",IFERROR(DATEVALUE(TEXT(Assumptions!B51,"MM/DD/YYYY")),0)&gt;=DATE(2029,12,1),IFERROR(DATEVALUE(TEXT(Assumptions!B51,"MM/DD/YYYY")),0)&lt;=DATE(2029,12,31)),1,0)+IF(AND(Assumptions!B52&lt;&gt;"",IFERROR(DATEVALUE(TEXT(Assumptions!B52,"MM/DD/YYYY")),0)&gt;=DATE(2029,12,1),IFERROR(DATEVALUE(TEXT(Assumptions!B52,"MM/DD/YYYY")),0)&lt;=DATE(2029,12,31)),1,0)+IF(AND(Assumptions!B53&lt;&gt;"",IFERROR(DATEVALUE(TEXT(Assumptions!B53,"MM/DD/YYYY")),0)&gt;=DATE(2029,12,1),IFERROR(DATEVALUE(TEXT(Assumptions!B53,"MM/DD/YYYY")),0)&lt;=DATE(2029,12,31)),1,0)+IF(AND(Assumptions!B54&lt;&gt;"",IFERROR(DATEVALUE(TEXT(Assumptions!B54,"MM/DD/YYYY")),0)&gt;=DATE(2029,12,1),IFERROR(DATEVALUE(TEXT(Assumptions!B54,"MM/DD/YYYY")),0)&lt;=DATE(2029,12,31)),1,0)+IF(AND(Assumptions!B55&lt;&gt;"",IFERROR(DATEVALUE(TEXT(Assumptions!B55,"MM/DD/YYYY")),0)&gt;=DATE(2029,12,1),IFERROR(DATEVALUE(TEXT(Assumptions!B55,"MM/DD/YYYY")),0)&lt;=DATE(2029,12,31)),1,0)+IF(AND(Assumptions!B56&lt;&gt;"",IFERROR(DATEVALUE(TEXT(Assumptions!B56,"MM/DD/YYYY")),0)&gt;=DATE(2029,12,1),IFERROR(DATEVALUE(TEXT(Assumptions!B56,"MM/DD/YYYY")),0)&lt;=DATE(2029,12,31)),1,0)+IF(AND(Assumptions!B57&lt;&gt;"",IFERROR(DATEVALUE(TEXT(Assumptions!B57,"MM/DD/YYYY")),0)&gt;=DATE(2029,12,1),IFERROR(DATEVALUE(TEXT(Assumptions!B57,"MM/DD/YYYY")),0)&lt;=DATE(2029,12,31)),1,0)+IF(AND(Assumptions!B58&lt;&gt;"",IFERROR(DATEVALUE(TEXT(Assumptions!B58,"MM/DD/YYYY")),0)&gt;=DATE(2029,12,1),IFERROR(DATEVALUE(TEXT(Assumptions!B58,"MM/DD/YYYY")),0)&lt;=DATE(2029,12,31)),1,0)+IF(AND(Assumptions!B59&lt;&gt;"",IFERROR(DATEVALUE(TEXT(Assumptions!B59,"MM/DD/YYYY")),0)&gt;=DATE(2029,12,1),IFERROR(DATEVALUE(TEXT(Assumptions!B59,"MM/DD/YYYY")),0)&lt;=DATE(2029,12,31)),1,0)+IF(AND(Assumptions!B60&lt;&gt;"",IFERROR(DATEVALUE(TEXT(Assumptions!B60,"MM/DD/YYYY")),0)&gt;=DATE(2029,12,1),IFERROR(DATEVALUE(TEXT(Assumptions!B60,"MM/DD/YYYY")),0)&lt;=DATE(2029,12,31)),1,0))&gt;0,0,'Working Capital'!AO13-'Working Capital'!AN13)</f>
        <v/>
      </c>
      <c r="AP12" s="156">
        <f>IF((IF(AND(Assumptions!B51&lt;&gt;"",IFERROR(DATEVALUE(TEXT(Assumptions!B51,"MM/DD/YYYY")),0)&gt;=DATE(2030,1,1),IFERROR(DATEVALUE(TEXT(Assumptions!B51,"MM/DD/YYYY")),0)&lt;=DATE(2030,1,31)),1,0)+IF(AND(Assumptions!B52&lt;&gt;"",IFERROR(DATEVALUE(TEXT(Assumptions!B52,"MM/DD/YYYY")),0)&gt;=DATE(2030,1,1),IFERROR(DATEVALUE(TEXT(Assumptions!B52,"MM/DD/YYYY")),0)&lt;=DATE(2030,1,31)),1,0)+IF(AND(Assumptions!B53&lt;&gt;"",IFERROR(DATEVALUE(TEXT(Assumptions!B53,"MM/DD/YYYY")),0)&gt;=DATE(2030,1,1),IFERROR(DATEVALUE(TEXT(Assumptions!B53,"MM/DD/YYYY")),0)&lt;=DATE(2030,1,31)),1,0)+IF(AND(Assumptions!B54&lt;&gt;"",IFERROR(DATEVALUE(TEXT(Assumptions!B54,"MM/DD/YYYY")),0)&gt;=DATE(2030,1,1),IFERROR(DATEVALUE(TEXT(Assumptions!B54,"MM/DD/YYYY")),0)&lt;=DATE(2030,1,31)),1,0)+IF(AND(Assumptions!B55&lt;&gt;"",IFERROR(DATEVALUE(TEXT(Assumptions!B55,"MM/DD/YYYY")),0)&gt;=DATE(2030,1,1),IFERROR(DATEVALUE(TEXT(Assumptions!B55,"MM/DD/YYYY")),0)&lt;=DATE(2030,1,31)),1,0)+IF(AND(Assumptions!B56&lt;&gt;"",IFERROR(DATEVALUE(TEXT(Assumptions!B56,"MM/DD/YYYY")),0)&gt;=DATE(2030,1,1),IFERROR(DATEVALUE(TEXT(Assumptions!B56,"MM/DD/YYYY")),0)&lt;=DATE(2030,1,31)),1,0)+IF(AND(Assumptions!B57&lt;&gt;"",IFERROR(DATEVALUE(TEXT(Assumptions!B57,"MM/DD/YYYY")),0)&gt;=DATE(2030,1,1),IFERROR(DATEVALUE(TEXT(Assumptions!B57,"MM/DD/YYYY")),0)&lt;=DATE(2030,1,31)),1,0)+IF(AND(Assumptions!B58&lt;&gt;"",IFERROR(DATEVALUE(TEXT(Assumptions!B58,"MM/DD/YYYY")),0)&gt;=DATE(2030,1,1),IFERROR(DATEVALUE(TEXT(Assumptions!B58,"MM/DD/YYYY")),0)&lt;=DATE(2030,1,31)),1,0)+IF(AND(Assumptions!B59&lt;&gt;"",IFERROR(DATEVALUE(TEXT(Assumptions!B59,"MM/DD/YYYY")),0)&gt;=DATE(2030,1,1),IFERROR(DATEVALUE(TEXT(Assumptions!B59,"MM/DD/YYYY")),0)&lt;=DATE(2030,1,31)),1,0)+IF(AND(Assumptions!B60&lt;&gt;"",IFERROR(DATEVALUE(TEXT(Assumptions!B60,"MM/DD/YYYY")),0)&gt;=DATE(2030,1,1),IFERROR(DATEVALUE(TEXT(Assumptions!B60,"MM/DD/YYYY")),0)&lt;=DATE(2030,1,31)),1,0))&gt;0,0,'Working Capital'!AP13-'Working Capital'!AO13)</f>
        <v/>
      </c>
      <c r="AQ12" s="156">
        <f>IF((IF(AND(Assumptions!B51&lt;&gt;"",IFERROR(DATEVALUE(TEXT(Assumptions!B51,"MM/DD/YYYY")),0)&gt;=DATE(2030,2,1),IFERROR(DATEVALUE(TEXT(Assumptions!B51,"MM/DD/YYYY")),0)&lt;=DATE(2030,2,28)),1,0)+IF(AND(Assumptions!B52&lt;&gt;"",IFERROR(DATEVALUE(TEXT(Assumptions!B52,"MM/DD/YYYY")),0)&gt;=DATE(2030,2,1),IFERROR(DATEVALUE(TEXT(Assumptions!B52,"MM/DD/YYYY")),0)&lt;=DATE(2030,2,28)),1,0)+IF(AND(Assumptions!B53&lt;&gt;"",IFERROR(DATEVALUE(TEXT(Assumptions!B53,"MM/DD/YYYY")),0)&gt;=DATE(2030,2,1),IFERROR(DATEVALUE(TEXT(Assumptions!B53,"MM/DD/YYYY")),0)&lt;=DATE(2030,2,28)),1,0)+IF(AND(Assumptions!B54&lt;&gt;"",IFERROR(DATEVALUE(TEXT(Assumptions!B54,"MM/DD/YYYY")),0)&gt;=DATE(2030,2,1),IFERROR(DATEVALUE(TEXT(Assumptions!B54,"MM/DD/YYYY")),0)&lt;=DATE(2030,2,28)),1,0)+IF(AND(Assumptions!B55&lt;&gt;"",IFERROR(DATEVALUE(TEXT(Assumptions!B55,"MM/DD/YYYY")),0)&gt;=DATE(2030,2,1),IFERROR(DATEVALUE(TEXT(Assumptions!B55,"MM/DD/YYYY")),0)&lt;=DATE(2030,2,28)),1,0)+IF(AND(Assumptions!B56&lt;&gt;"",IFERROR(DATEVALUE(TEXT(Assumptions!B56,"MM/DD/YYYY")),0)&gt;=DATE(2030,2,1),IFERROR(DATEVALUE(TEXT(Assumptions!B56,"MM/DD/YYYY")),0)&lt;=DATE(2030,2,28)),1,0)+IF(AND(Assumptions!B57&lt;&gt;"",IFERROR(DATEVALUE(TEXT(Assumptions!B57,"MM/DD/YYYY")),0)&gt;=DATE(2030,2,1),IFERROR(DATEVALUE(TEXT(Assumptions!B57,"MM/DD/YYYY")),0)&lt;=DATE(2030,2,28)),1,0)+IF(AND(Assumptions!B58&lt;&gt;"",IFERROR(DATEVALUE(TEXT(Assumptions!B58,"MM/DD/YYYY")),0)&gt;=DATE(2030,2,1),IFERROR(DATEVALUE(TEXT(Assumptions!B58,"MM/DD/YYYY")),0)&lt;=DATE(2030,2,28)),1,0)+IF(AND(Assumptions!B59&lt;&gt;"",IFERROR(DATEVALUE(TEXT(Assumptions!B59,"MM/DD/YYYY")),0)&gt;=DATE(2030,2,1),IFERROR(DATEVALUE(TEXT(Assumptions!B59,"MM/DD/YYYY")),0)&lt;=DATE(2030,2,28)),1,0)+IF(AND(Assumptions!B60&lt;&gt;"",IFERROR(DATEVALUE(TEXT(Assumptions!B60,"MM/DD/YYYY")),0)&gt;=DATE(2030,2,1),IFERROR(DATEVALUE(TEXT(Assumptions!B60,"MM/DD/YYYY")),0)&lt;=DATE(2030,2,28)),1,0))&gt;0,0,'Working Capital'!AQ13-'Working Capital'!AP13)</f>
        <v/>
      </c>
      <c r="AR12" s="156">
        <f>IF((IF(AND(Assumptions!B51&lt;&gt;"",IFERROR(DATEVALUE(TEXT(Assumptions!B51,"MM/DD/YYYY")),0)&gt;=DATE(2030,3,1),IFERROR(DATEVALUE(TEXT(Assumptions!B51,"MM/DD/YYYY")),0)&lt;=DATE(2030,3,31)),1,0)+IF(AND(Assumptions!B52&lt;&gt;"",IFERROR(DATEVALUE(TEXT(Assumptions!B52,"MM/DD/YYYY")),0)&gt;=DATE(2030,3,1),IFERROR(DATEVALUE(TEXT(Assumptions!B52,"MM/DD/YYYY")),0)&lt;=DATE(2030,3,31)),1,0)+IF(AND(Assumptions!B53&lt;&gt;"",IFERROR(DATEVALUE(TEXT(Assumptions!B53,"MM/DD/YYYY")),0)&gt;=DATE(2030,3,1),IFERROR(DATEVALUE(TEXT(Assumptions!B53,"MM/DD/YYYY")),0)&lt;=DATE(2030,3,31)),1,0)+IF(AND(Assumptions!B54&lt;&gt;"",IFERROR(DATEVALUE(TEXT(Assumptions!B54,"MM/DD/YYYY")),0)&gt;=DATE(2030,3,1),IFERROR(DATEVALUE(TEXT(Assumptions!B54,"MM/DD/YYYY")),0)&lt;=DATE(2030,3,31)),1,0)+IF(AND(Assumptions!B55&lt;&gt;"",IFERROR(DATEVALUE(TEXT(Assumptions!B55,"MM/DD/YYYY")),0)&gt;=DATE(2030,3,1),IFERROR(DATEVALUE(TEXT(Assumptions!B55,"MM/DD/YYYY")),0)&lt;=DATE(2030,3,31)),1,0)+IF(AND(Assumptions!B56&lt;&gt;"",IFERROR(DATEVALUE(TEXT(Assumptions!B56,"MM/DD/YYYY")),0)&gt;=DATE(2030,3,1),IFERROR(DATEVALUE(TEXT(Assumptions!B56,"MM/DD/YYYY")),0)&lt;=DATE(2030,3,31)),1,0)+IF(AND(Assumptions!B57&lt;&gt;"",IFERROR(DATEVALUE(TEXT(Assumptions!B57,"MM/DD/YYYY")),0)&gt;=DATE(2030,3,1),IFERROR(DATEVALUE(TEXT(Assumptions!B57,"MM/DD/YYYY")),0)&lt;=DATE(2030,3,31)),1,0)+IF(AND(Assumptions!B58&lt;&gt;"",IFERROR(DATEVALUE(TEXT(Assumptions!B58,"MM/DD/YYYY")),0)&gt;=DATE(2030,3,1),IFERROR(DATEVALUE(TEXT(Assumptions!B58,"MM/DD/YYYY")),0)&lt;=DATE(2030,3,31)),1,0)+IF(AND(Assumptions!B59&lt;&gt;"",IFERROR(DATEVALUE(TEXT(Assumptions!B59,"MM/DD/YYYY")),0)&gt;=DATE(2030,3,1),IFERROR(DATEVALUE(TEXT(Assumptions!B59,"MM/DD/YYYY")),0)&lt;=DATE(2030,3,31)),1,0)+IF(AND(Assumptions!B60&lt;&gt;"",IFERROR(DATEVALUE(TEXT(Assumptions!B60,"MM/DD/YYYY")),0)&gt;=DATE(2030,3,1),IFERROR(DATEVALUE(TEXT(Assumptions!B60,"MM/DD/YYYY")),0)&lt;=DATE(2030,3,31)),1,0))&gt;0,0,'Working Capital'!AR13-'Working Capital'!AQ13)</f>
        <v/>
      </c>
      <c r="AS12" s="156">
        <f>IF((IF(AND(Assumptions!B51&lt;&gt;"",IFERROR(DATEVALUE(TEXT(Assumptions!B51,"MM/DD/YYYY")),0)&gt;=DATE(2030,4,1),IFERROR(DATEVALUE(TEXT(Assumptions!B51,"MM/DD/YYYY")),0)&lt;=DATE(2030,4,30)),1,0)+IF(AND(Assumptions!B52&lt;&gt;"",IFERROR(DATEVALUE(TEXT(Assumptions!B52,"MM/DD/YYYY")),0)&gt;=DATE(2030,4,1),IFERROR(DATEVALUE(TEXT(Assumptions!B52,"MM/DD/YYYY")),0)&lt;=DATE(2030,4,30)),1,0)+IF(AND(Assumptions!B53&lt;&gt;"",IFERROR(DATEVALUE(TEXT(Assumptions!B53,"MM/DD/YYYY")),0)&gt;=DATE(2030,4,1),IFERROR(DATEVALUE(TEXT(Assumptions!B53,"MM/DD/YYYY")),0)&lt;=DATE(2030,4,30)),1,0)+IF(AND(Assumptions!B54&lt;&gt;"",IFERROR(DATEVALUE(TEXT(Assumptions!B54,"MM/DD/YYYY")),0)&gt;=DATE(2030,4,1),IFERROR(DATEVALUE(TEXT(Assumptions!B54,"MM/DD/YYYY")),0)&lt;=DATE(2030,4,30)),1,0)+IF(AND(Assumptions!B55&lt;&gt;"",IFERROR(DATEVALUE(TEXT(Assumptions!B55,"MM/DD/YYYY")),0)&gt;=DATE(2030,4,1),IFERROR(DATEVALUE(TEXT(Assumptions!B55,"MM/DD/YYYY")),0)&lt;=DATE(2030,4,30)),1,0)+IF(AND(Assumptions!B56&lt;&gt;"",IFERROR(DATEVALUE(TEXT(Assumptions!B56,"MM/DD/YYYY")),0)&gt;=DATE(2030,4,1),IFERROR(DATEVALUE(TEXT(Assumptions!B56,"MM/DD/YYYY")),0)&lt;=DATE(2030,4,30)),1,0)+IF(AND(Assumptions!B57&lt;&gt;"",IFERROR(DATEVALUE(TEXT(Assumptions!B57,"MM/DD/YYYY")),0)&gt;=DATE(2030,4,1),IFERROR(DATEVALUE(TEXT(Assumptions!B57,"MM/DD/YYYY")),0)&lt;=DATE(2030,4,30)),1,0)+IF(AND(Assumptions!B58&lt;&gt;"",IFERROR(DATEVALUE(TEXT(Assumptions!B58,"MM/DD/YYYY")),0)&gt;=DATE(2030,4,1),IFERROR(DATEVALUE(TEXT(Assumptions!B58,"MM/DD/YYYY")),0)&lt;=DATE(2030,4,30)),1,0)+IF(AND(Assumptions!B59&lt;&gt;"",IFERROR(DATEVALUE(TEXT(Assumptions!B59,"MM/DD/YYYY")),0)&gt;=DATE(2030,4,1),IFERROR(DATEVALUE(TEXT(Assumptions!B59,"MM/DD/YYYY")),0)&lt;=DATE(2030,4,30)),1,0)+IF(AND(Assumptions!B60&lt;&gt;"",IFERROR(DATEVALUE(TEXT(Assumptions!B60,"MM/DD/YYYY")),0)&gt;=DATE(2030,4,1),IFERROR(DATEVALUE(TEXT(Assumptions!B60,"MM/DD/YYYY")),0)&lt;=DATE(2030,4,30)),1,0))&gt;0,0,'Working Capital'!AS13-'Working Capital'!AR13)</f>
        <v/>
      </c>
      <c r="AT12" s="156">
        <f>IF((IF(AND(Assumptions!B51&lt;&gt;"",IFERROR(DATEVALUE(TEXT(Assumptions!B51,"MM/DD/YYYY")),0)&gt;=DATE(2030,5,1),IFERROR(DATEVALUE(TEXT(Assumptions!B51,"MM/DD/YYYY")),0)&lt;=DATE(2030,5,31)),1,0)+IF(AND(Assumptions!B52&lt;&gt;"",IFERROR(DATEVALUE(TEXT(Assumptions!B52,"MM/DD/YYYY")),0)&gt;=DATE(2030,5,1),IFERROR(DATEVALUE(TEXT(Assumptions!B52,"MM/DD/YYYY")),0)&lt;=DATE(2030,5,31)),1,0)+IF(AND(Assumptions!B53&lt;&gt;"",IFERROR(DATEVALUE(TEXT(Assumptions!B53,"MM/DD/YYYY")),0)&gt;=DATE(2030,5,1),IFERROR(DATEVALUE(TEXT(Assumptions!B53,"MM/DD/YYYY")),0)&lt;=DATE(2030,5,31)),1,0)+IF(AND(Assumptions!B54&lt;&gt;"",IFERROR(DATEVALUE(TEXT(Assumptions!B54,"MM/DD/YYYY")),0)&gt;=DATE(2030,5,1),IFERROR(DATEVALUE(TEXT(Assumptions!B54,"MM/DD/YYYY")),0)&lt;=DATE(2030,5,31)),1,0)+IF(AND(Assumptions!B55&lt;&gt;"",IFERROR(DATEVALUE(TEXT(Assumptions!B55,"MM/DD/YYYY")),0)&gt;=DATE(2030,5,1),IFERROR(DATEVALUE(TEXT(Assumptions!B55,"MM/DD/YYYY")),0)&lt;=DATE(2030,5,31)),1,0)+IF(AND(Assumptions!B56&lt;&gt;"",IFERROR(DATEVALUE(TEXT(Assumptions!B56,"MM/DD/YYYY")),0)&gt;=DATE(2030,5,1),IFERROR(DATEVALUE(TEXT(Assumptions!B56,"MM/DD/YYYY")),0)&lt;=DATE(2030,5,31)),1,0)+IF(AND(Assumptions!B57&lt;&gt;"",IFERROR(DATEVALUE(TEXT(Assumptions!B57,"MM/DD/YYYY")),0)&gt;=DATE(2030,5,1),IFERROR(DATEVALUE(TEXT(Assumptions!B57,"MM/DD/YYYY")),0)&lt;=DATE(2030,5,31)),1,0)+IF(AND(Assumptions!B58&lt;&gt;"",IFERROR(DATEVALUE(TEXT(Assumptions!B58,"MM/DD/YYYY")),0)&gt;=DATE(2030,5,1),IFERROR(DATEVALUE(TEXT(Assumptions!B58,"MM/DD/YYYY")),0)&lt;=DATE(2030,5,31)),1,0)+IF(AND(Assumptions!B59&lt;&gt;"",IFERROR(DATEVALUE(TEXT(Assumptions!B59,"MM/DD/YYYY")),0)&gt;=DATE(2030,5,1),IFERROR(DATEVALUE(TEXT(Assumptions!B59,"MM/DD/YYYY")),0)&lt;=DATE(2030,5,31)),1,0)+IF(AND(Assumptions!B60&lt;&gt;"",IFERROR(DATEVALUE(TEXT(Assumptions!B60,"MM/DD/YYYY")),0)&gt;=DATE(2030,5,1),IFERROR(DATEVALUE(TEXT(Assumptions!B60,"MM/DD/YYYY")),0)&lt;=DATE(2030,5,31)),1,0))&gt;0,0,'Working Capital'!AT13-'Working Capital'!AS13)</f>
        <v/>
      </c>
      <c r="AU12" s="156">
        <f>IF((IF(AND(Assumptions!B51&lt;&gt;"",IFERROR(DATEVALUE(TEXT(Assumptions!B51,"MM/DD/YYYY")),0)&gt;=DATE(2030,6,1),IFERROR(DATEVALUE(TEXT(Assumptions!B51,"MM/DD/YYYY")),0)&lt;=DATE(2030,6,30)),1,0)+IF(AND(Assumptions!B52&lt;&gt;"",IFERROR(DATEVALUE(TEXT(Assumptions!B52,"MM/DD/YYYY")),0)&gt;=DATE(2030,6,1),IFERROR(DATEVALUE(TEXT(Assumptions!B52,"MM/DD/YYYY")),0)&lt;=DATE(2030,6,30)),1,0)+IF(AND(Assumptions!B53&lt;&gt;"",IFERROR(DATEVALUE(TEXT(Assumptions!B53,"MM/DD/YYYY")),0)&gt;=DATE(2030,6,1),IFERROR(DATEVALUE(TEXT(Assumptions!B53,"MM/DD/YYYY")),0)&lt;=DATE(2030,6,30)),1,0)+IF(AND(Assumptions!B54&lt;&gt;"",IFERROR(DATEVALUE(TEXT(Assumptions!B54,"MM/DD/YYYY")),0)&gt;=DATE(2030,6,1),IFERROR(DATEVALUE(TEXT(Assumptions!B54,"MM/DD/YYYY")),0)&lt;=DATE(2030,6,30)),1,0)+IF(AND(Assumptions!B55&lt;&gt;"",IFERROR(DATEVALUE(TEXT(Assumptions!B55,"MM/DD/YYYY")),0)&gt;=DATE(2030,6,1),IFERROR(DATEVALUE(TEXT(Assumptions!B55,"MM/DD/YYYY")),0)&lt;=DATE(2030,6,30)),1,0)+IF(AND(Assumptions!B56&lt;&gt;"",IFERROR(DATEVALUE(TEXT(Assumptions!B56,"MM/DD/YYYY")),0)&gt;=DATE(2030,6,1),IFERROR(DATEVALUE(TEXT(Assumptions!B56,"MM/DD/YYYY")),0)&lt;=DATE(2030,6,30)),1,0)+IF(AND(Assumptions!B57&lt;&gt;"",IFERROR(DATEVALUE(TEXT(Assumptions!B57,"MM/DD/YYYY")),0)&gt;=DATE(2030,6,1),IFERROR(DATEVALUE(TEXT(Assumptions!B57,"MM/DD/YYYY")),0)&lt;=DATE(2030,6,30)),1,0)+IF(AND(Assumptions!B58&lt;&gt;"",IFERROR(DATEVALUE(TEXT(Assumptions!B58,"MM/DD/YYYY")),0)&gt;=DATE(2030,6,1),IFERROR(DATEVALUE(TEXT(Assumptions!B58,"MM/DD/YYYY")),0)&lt;=DATE(2030,6,30)),1,0)+IF(AND(Assumptions!B59&lt;&gt;"",IFERROR(DATEVALUE(TEXT(Assumptions!B59,"MM/DD/YYYY")),0)&gt;=DATE(2030,6,1),IFERROR(DATEVALUE(TEXT(Assumptions!B59,"MM/DD/YYYY")),0)&lt;=DATE(2030,6,30)),1,0)+IF(AND(Assumptions!B60&lt;&gt;"",IFERROR(DATEVALUE(TEXT(Assumptions!B60,"MM/DD/YYYY")),0)&gt;=DATE(2030,6,1),IFERROR(DATEVALUE(TEXT(Assumptions!B60,"MM/DD/YYYY")),0)&lt;=DATE(2030,6,30)),1,0))&gt;0,0,'Working Capital'!AU13-'Working Capital'!AT13)</f>
        <v/>
      </c>
      <c r="AV12" s="156">
        <f>IF((IF(AND(Assumptions!B51&lt;&gt;"",IFERROR(DATEVALUE(TEXT(Assumptions!B51,"MM/DD/YYYY")),0)&gt;=DATE(2030,7,1),IFERROR(DATEVALUE(TEXT(Assumptions!B51,"MM/DD/YYYY")),0)&lt;=DATE(2030,7,31)),1,0)+IF(AND(Assumptions!B52&lt;&gt;"",IFERROR(DATEVALUE(TEXT(Assumptions!B52,"MM/DD/YYYY")),0)&gt;=DATE(2030,7,1),IFERROR(DATEVALUE(TEXT(Assumptions!B52,"MM/DD/YYYY")),0)&lt;=DATE(2030,7,31)),1,0)+IF(AND(Assumptions!B53&lt;&gt;"",IFERROR(DATEVALUE(TEXT(Assumptions!B53,"MM/DD/YYYY")),0)&gt;=DATE(2030,7,1),IFERROR(DATEVALUE(TEXT(Assumptions!B53,"MM/DD/YYYY")),0)&lt;=DATE(2030,7,31)),1,0)+IF(AND(Assumptions!B54&lt;&gt;"",IFERROR(DATEVALUE(TEXT(Assumptions!B54,"MM/DD/YYYY")),0)&gt;=DATE(2030,7,1),IFERROR(DATEVALUE(TEXT(Assumptions!B54,"MM/DD/YYYY")),0)&lt;=DATE(2030,7,31)),1,0)+IF(AND(Assumptions!B55&lt;&gt;"",IFERROR(DATEVALUE(TEXT(Assumptions!B55,"MM/DD/YYYY")),0)&gt;=DATE(2030,7,1),IFERROR(DATEVALUE(TEXT(Assumptions!B55,"MM/DD/YYYY")),0)&lt;=DATE(2030,7,31)),1,0)+IF(AND(Assumptions!B56&lt;&gt;"",IFERROR(DATEVALUE(TEXT(Assumptions!B56,"MM/DD/YYYY")),0)&gt;=DATE(2030,7,1),IFERROR(DATEVALUE(TEXT(Assumptions!B56,"MM/DD/YYYY")),0)&lt;=DATE(2030,7,31)),1,0)+IF(AND(Assumptions!B57&lt;&gt;"",IFERROR(DATEVALUE(TEXT(Assumptions!B57,"MM/DD/YYYY")),0)&gt;=DATE(2030,7,1),IFERROR(DATEVALUE(TEXT(Assumptions!B57,"MM/DD/YYYY")),0)&lt;=DATE(2030,7,31)),1,0)+IF(AND(Assumptions!B58&lt;&gt;"",IFERROR(DATEVALUE(TEXT(Assumptions!B58,"MM/DD/YYYY")),0)&gt;=DATE(2030,7,1),IFERROR(DATEVALUE(TEXT(Assumptions!B58,"MM/DD/YYYY")),0)&lt;=DATE(2030,7,31)),1,0)+IF(AND(Assumptions!B59&lt;&gt;"",IFERROR(DATEVALUE(TEXT(Assumptions!B59,"MM/DD/YYYY")),0)&gt;=DATE(2030,7,1),IFERROR(DATEVALUE(TEXT(Assumptions!B59,"MM/DD/YYYY")),0)&lt;=DATE(2030,7,31)),1,0)+IF(AND(Assumptions!B60&lt;&gt;"",IFERROR(DATEVALUE(TEXT(Assumptions!B60,"MM/DD/YYYY")),0)&gt;=DATE(2030,7,1),IFERROR(DATEVALUE(TEXT(Assumptions!B60,"MM/DD/YYYY")),0)&lt;=DATE(2030,7,31)),1,0))&gt;0,0,'Working Capital'!AV13-'Working Capital'!AU13)</f>
        <v/>
      </c>
      <c r="AW12" s="156">
        <f>IF((IF(AND(Assumptions!B51&lt;&gt;"",IFERROR(DATEVALUE(TEXT(Assumptions!B51,"MM/DD/YYYY")),0)&gt;=DATE(2030,8,1),IFERROR(DATEVALUE(TEXT(Assumptions!B51,"MM/DD/YYYY")),0)&lt;=DATE(2030,8,31)),1,0)+IF(AND(Assumptions!B52&lt;&gt;"",IFERROR(DATEVALUE(TEXT(Assumptions!B52,"MM/DD/YYYY")),0)&gt;=DATE(2030,8,1),IFERROR(DATEVALUE(TEXT(Assumptions!B52,"MM/DD/YYYY")),0)&lt;=DATE(2030,8,31)),1,0)+IF(AND(Assumptions!B53&lt;&gt;"",IFERROR(DATEVALUE(TEXT(Assumptions!B53,"MM/DD/YYYY")),0)&gt;=DATE(2030,8,1),IFERROR(DATEVALUE(TEXT(Assumptions!B53,"MM/DD/YYYY")),0)&lt;=DATE(2030,8,31)),1,0)+IF(AND(Assumptions!B54&lt;&gt;"",IFERROR(DATEVALUE(TEXT(Assumptions!B54,"MM/DD/YYYY")),0)&gt;=DATE(2030,8,1),IFERROR(DATEVALUE(TEXT(Assumptions!B54,"MM/DD/YYYY")),0)&lt;=DATE(2030,8,31)),1,0)+IF(AND(Assumptions!B55&lt;&gt;"",IFERROR(DATEVALUE(TEXT(Assumptions!B55,"MM/DD/YYYY")),0)&gt;=DATE(2030,8,1),IFERROR(DATEVALUE(TEXT(Assumptions!B55,"MM/DD/YYYY")),0)&lt;=DATE(2030,8,31)),1,0)+IF(AND(Assumptions!B56&lt;&gt;"",IFERROR(DATEVALUE(TEXT(Assumptions!B56,"MM/DD/YYYY")),0)&gt;=DATE(2030,8,1),IFERROR(DATEVALUE(TEXT(Assumptions!B56,"MM/DD/YYYY")),0)&lt;=DATE(2030,8,31)),1,0)+IF(AND(Assumptions!B57&lt;&gt;"",IFERROR(DATEVALUE(TEXT(Assumptions!B57,"MM/DD/YYYY")),0)&gt;=DATE(2030,8,1),IFERROR(DATEVALUE(TEXT(Assumptions!B57,"MM/DD/YYYY")),0)&lt;=DATE(2030,8,31)),1,0)+IF(AND(Assumptions!B58&lt;&gt;"",IFERROR(DATEVALUE(TEXT(Assumptions!B58,"MM/DD/YYYY")),0)&gt;=DATE(2030,8,1),IFERROR(DATEVALUE(TEXT(Assumptions!B58,"MM/DD/YYYY")),0)&lt;=DATE(2030,8,31)),1,0)+IF(AND(Assumptions!B59&lt;&gt;"",IFERROR(DATEVALUE(TEXT(Assumptions!B59,"MM/DD/YYYY")),0)&gt;=DATE(2030,8,1),IFERROR(DATEVALUE(TEXT(Assumptions!B59,"MM/DD/YYYY")),0)&lt;=DATE(2030,8,31)),1,0)+IF(AND(Assumptions!B60&lt;&gt;"",IFERROR(DATEVALUE(TEXT(Assumptions!B60,"MM/DD/YYYY")),0)&gt;=DATE(2030,8,1),IFERROR(DATEVALUE(TEXT(Assumptions!B60,"MM/DD/YYYY")),0)&lt;=DATE(2030,8,31)),1,0))&gt;0,0,'Working Capital'!AW13-'Working Capital'!AV13)</f>
        <v/>
      </c>
      <c r="AX12" s="156">
        <f>IF((IF(AND(Assumptions!B51&lt;&gt;"",IFERROR(DATEVALUE(TEXT(Assumptions!B51,"MM/DD/YYYY")),0)&gt;=DATE(2030,9,1),IFERROR(DATEVALUE(TEXT(Assumptions!B51,"MM/DD/YYYY")),0)&lt;=DATE(2030,9,30)),1,0)+IF(AND(Assumptions!B52&lt;&gt;"",IFERROR(DATEVALUE(TEXT(Assumptions!B52,"MM/DD/YYYY")),0)&gt;=DATE(2030,9,1),IFERROR(DATEVALUE(TEXT(Assumptions!B52,"MM/DD/YYYY")),0)&lt;=DATE(2030,9,30)),1,0)+IF(AND(Assumptions!B53&lt;&gt;"",IFERROR(DATEVALUE(TEXT(Assumptions!B53,"MM/DD/YYYY")),0)&gt;=DATE(2030,9,1),IFERROR(DATEVALUE(TEXT(Assumptions!B53,"MM/DD/YYYY")),0)&lt;=DATE(2030,9,30)),1,0)+IF(AND(Assumptions!B54&lt;&gt;"",IFERROR(DATEVALUE(TEXT(Assumptions!B54,"MM/DD/YYYY")),0)&gt;=DATE(2030,9,1),IFERROR(DATEVALUE(TEXT(Assumptions!B54,"MM/DD/YYYY")),0)&lt;=DATE(2030,9,30)),1,0)+IF(AND(Assumptions!B55&lt;&gt;"",IFERROR(DATEVALUE(TEXT(Assumptions!B55,"MM/DD/YYYY")),0)&gt;=DATE(2030,9,1),IFERROR(DATEVALUE(TEXT(Assumptions!B55,"MM/DD/YYYY")),0)&lt;=DATE(2030,9,30)),1,0)+IF(AND(Assumptions!B56&lt;&gt;"",IFERROR(DATEVALUE(TEXT(Assumptions!B56,"MM/DD/YYYY")),0)&gt;=DATE(2030,9,1),IFERROR(DATEVALUE(TEXT(Assumptions!B56,"MM/DD/YYYY")),0)&lt;=DATE(2030,9,30)),1,0)+IF(AND(Assumptions!B57&lt;&gt;"",IFERROR(DATEVALUE(TEXT(Assumptions!B57,"MM/DD/YYYY")),0)&gt;=DATE(2030,9,1),IFERROR(DATEVALUE(TEXT(Assumptions!B57,"MM/DD/YYYY")),0)&lt;=DATE(2030,9,30)),1,0)+IF(AND(Assumptions!B58&lt;&gt;"",IFERROR(DATEVALUE(TEXT(Assumptions!B58,"MM/DD/YYYY")),0)&gt;=DATE(2030,9,1),IFERROR(DATEVALUE(TEXT(Assumptions!B58,"MM/DD/YYYY")),0)&lt;=DATE(2030,9,30)),1,0)+IF(AND(Assumptions!B59&lt;&gt;"",IFERROR(DATEVALUE(TEXT(Assumptions!B59,"MM/DD/YYYY")),0)&gt;=DATE(2030,9,1),IFERROR(DATEVALUE(TEXT(Assumptions!B59,"MM/DD/YYYY")),0)&lt;=DATE(2030,9,30)),1,0)+IF(AND(Assumptions!B60&lt;&gt;"",IFERROR(DATEVALUE(TEXT(Assumptions!B60,"MM/DD/YYYY")),0)&gt;=DATE(2030,9,1),IFERROR(DATEVALUE(TEXT(Assumptions!B60,"MM/DD/YYYY")),0)&lt;=DATE(2030,9,30)),1,0))&gt;0,0,'Working Capital'!AX13-'Working Capital'!AW13)</f>
        <v/>
      </c>
      <c r="AY12" s="156">
        <f>IF((IF(AND(Assumptions!B51&lt;&gt;"",IFERROR(DATEVALUE(TEXT(Assumptions!B51,"MM/DD/YYYY")),0)&gt;=DATE(2030,10,1),IFERROR(DATEVALUE(TEXT(Assumptions!B51,"MM/DD/YYYY")),0)&lt;=DATE(2030,10,31)),1,0)+IF(AND(Assumptions!B52&lt;&gt;"",IFERROR(DATEVALUE(TEXT(Assumptions!B52,"MM/DD/YYYY")),0)&gt;=DATE(2030,10,1),IFERROR(DATEVALUE(TEXT(Assumptions!B52,"MM/DD/YYYY")),0)&lt;=DATE(2030,10,31)),1,0)+IF(AND(Assumptions!B53&lt;&gt;"",IFERROR(DATEVALUE(TEXT(Assumptions!B53,"MM/DD/YYYY")),0)&gt;=DATE(2030,10,1),IFERROR(DATEVALUE(TEXT(Assumptions!B53,"MM/DD/YYYY")),0)&lt;=DATE(2030,10,31)),1,0)+IF(AND(Assumptions!B54&lt;&gt;"",IFERROR(DATEVALUE(TEXT(Assumptions!B54,"MM/DD/YYYY")),0)&gt;=DATE(2030,10,1),IFERROR(DATEVALUE(TEXT(Assumptions!B54,"MM/DD/YYYY")),0)&lt;=DATE(2030,10,31)),1,0)+IF(AND(Assumptions!B55&lt;&gt;"",IFERROR(DATEVALUE(TEXT(Assumptions!B55,"MM/DD/YYYY")),0)&gt;=DATE(2030,10,1),IFERROR(DATEVALUE(TEXT(Assumptions!B55,"MM/DD/YYYY")),0)&lt;=DATE(2030,10,31)),1,0)+IF(AND(Assumptions!B56&lt;&gt;"",IFERROR(DATEVALUE(TEXT(Assumptions!B56,"MM/DD/YYYY")),0)&gt;=DATE(2030,10,1),IFERROR(DATEVALUE(TEXT(Assumptions!B56,"MM/DD/YYYY")),0)&lt;=DATE(2030,10,31)),1,0)+IF(AND(Assumptions!B57&lt;&gt;"",IFERROR(DATEVALUE(TEXT(Assumptions!B57,"MM/DD/YYYY")),0)&gt;=DATE(2030,10,1),IFERROR(DATEVALUE(TEXT(Assumptions!B57,"MM/DD/YYYY")),0)&lt;=DATE(2030,10,31)),1,0)+IF(AND(Assumptions!B58&lt;&gt;"",IFERROR(DATEVALUE(TEXT(Assumptions!B58,"MM/DD/YYYY")),0)&gt;=DATE(2030,10,1),IFERROR(DATEVALUE(TEXT(Assumptions!B58,"MM/DD/YYYY")),0)&lt;=DATE(2030,10,31)),1,0)+IF(AND(Assumptions!B59&lt;&gt;"",IFERROR(DATEVALUE(TEXT(Assumptions!B59,"MM/DD/YYYY")),0)&gt;=DATE(2030,10,1),IFERROR(DATEVALUE(TEXT(Assumptions!B59,"MM/DD/YYYY")),0)&lt;=DATE(2030,10,31)),1,0)+IF(AND(Assumptions!B60&lt;&gt;"",IFERROR(DATEVALUE(TEXT(Assumptions!B60,"MM/DD/YYYY")),0)&gt;=DATE(2030,10,1),IFERROR(DATEVALUE(TEXT(Assumptions!B60,"MM/DD/YYYY")),0)&lt;=DATE(2030,10,31)),1,0))&gt;0,0,'Working Capital'!AY13-'Working Capital'!AX13)</f>
        <v/>
      </c>
      <c r="AZ12" s="156">
        <f>IF((IF(AND(Assumptions!B51&lt;&gt;"",IFERROR(DATEVALUE(TEXT(Assumptions!B51,"MM/DD/YYYY")),0)&gt;=DATE(2030,11,1),IFERROR(DATEVALUE(TEXT(Assumptions!B51,"MM/DD/YYYY")),0)&lt;=DATE(2030,11,30)),1,0)+IF(AND(Assumptions!B52&lt;&gt;"",IFERROR(DATEVALUE(TEXT(Assumptions!B52,"MM/DD/YYYY")),0)&gt;=DATE(2030,11,1),IFERROR(DATEVALUE(TEXT(Assumptions!B52,"MM/DD/YYYY")),0)&lt;=DATE(2030,11,30)),1,0)+IF(AND(Assumptions!B53&lt;&gt;"",IFERROR(DATEVALUE(TEXT(Assumptions!B53,"MM/DD/YYYY")),0)&gt;=DATE(2030,11,1),IFERROR(DATEVALUE(TEXT(Assumptions!B53,"MM/DD/YYYY")),0)&lt;=DATE(2030,11,30)),1,0)+IF(AND(Assumptions!B54&lt;&gt;"",IFERROR(DATEVALUE(TEXT(Assumptions!B54,"MM/DD/YYYY")),0)&gt;=DATE(2030,11,1),IFERROR(DATEVALUE(TEXT(Assumptions!B54,"MM/DD/YYYY")),0)&lt;=DATE(2030,11,30)),1,0)+IF(AND(Assumptions!B55&lt;&gt;"",IFERROR(DATEVALUE(TEXT(Assumptions!B55,"MM/DD/YYYY")),0)&gt;=DATE(2030,11,1),IFERROR(DATEVALUE(TEXT(Assumptions!B55,"MM/DD/YYYY")),0)&lt;=DATE(2030,11,30)),1,0)+IF(AND(Assumptions!B56&lt;&gt;"",IFERROR(DATEVALUE(TEXT(Assumptions!B56,"MM/DD/YYYY")),0)&gt;=DATE(2030,11,1),IFERROR(DATEVALUE(TEXT(Assumptions!B56,"MM/DD/YYYY")),0)&lt;=DATE(2030,11,30)),1,0)+IF(AND(Assumptions!B57&lt;&gt;"",IFERROR(DATEVALUE(TEXT(Assumptions!B57,"MM/DD/YYYY")),0)&gt;=DATE(2030,11,1),IFERROR(DATEVALUE(TEXT(Assumptions!B57,"MM/DD/YYYY")),0)&lt;=DATE(2030,11,30)),1,0)+IF(AND(Assumptions!B58&lt;&gt;"",IFERROR(DATEVALUE(TEXT(Assumptions!B58,"MM/DD/YYYY")),0)&gt;=DATE(2030,11,1),IFERROR(DATEVALUE(TEXT(Assumptions!B58,"MM/DD/YYYY")),0)&lt;=DATE(2030,11,30)),1,0)+IF(AND(Assumptions!B59&lt;&gt;"",IFERROR(DATEVALUE(TEXT(Assumptions!B59,"MM/DD/YYYY")),0)&gt;=DATE(2030,11,1),IFERROR(DATEVALUE(TEXT(Assumptions!B59,"MM/DD/YYYY")),0)&lt;=DATE(2030,11,30)),1,0)+IF(AND(Assumptions!B60&lt;&gt;"",IFERROR(DATEVALUE(TEXT(Assumptions!B60,"MM/DD/YYYY")),0)&gt;=DATE(2030,11,1),IFERROR(DATEVALUE(TEXT(Assumptions!B60,"MM/DD/YYYY")),0)&lt;=DATE(2030,11,30)),1,0))&gt;0,0,'Working Capital'!AZ13-'Working Capital'!AY13)</f>
        <v/>
      </c>
      <c r="BA12" s="156">
        <f>IF((IF(AND(Assumptions!B51&lt;&gt;"",IFERROR(DATEVALUE(TEXT(Assumptions!B51,"MM/DD/YYYY")),0)&gt;=DATE(2030,12,1),IFERROR(DATEVALUE(TEXT(Assumptions!B51,"MM/DD/YYYY")),0)&lt;=DATE(2030,12,31)),1,0)+IF(AND(Assumptions!B52&lt;&gt;"",IFERROR(DATEVALUE(TEXT(Assumptions!B52,"MM/DD/YYYY")),0)&gt;=DATE(2030,12,1),IFERROR(DATEVALUE(TEXT(Assumptions!B52,"MM/DD/YYYY")),0)&lt;=DATE(2030,12,31)),1,0)+IF(AND(Assumptions!B53&lt;&gt;"",IFERROR(DATEVALUE(TEXT(Assumptions!B53,"MM/DD/YYYY")),0)&gt;=DATE(2030,12,1),IFERROR(DATEVALUE(TEXT(Assumptions!B53,"MM/DD/YYYY")),0)&lt;=DATE(2030,12,31)),1,0)+IF(AND(Assumptions!B54&lt;&gt;"",IFERROR(DATEVALUE(TEXT(Assumptions!B54,"MM/DD/YYYY")),0)&gt;=DATE(2030,12,1),IFERROR(DATEVALUE(TEXT(Assumptions!B54,"MM/DD/YYYY")),0)&lt;=DATE(2030,12,31)),1,0)+IF(AND(Assumptions!B55&lt;&gt;"",IFERROR(DATEVALUE(TEXT(Assumptions!B55,"MM/DD/YYYY")),0)&gt;=DATE(2030,12,1),IFERROR(DATEVALUE(TEXT(Assumptions!B55,"MM/DD/YYYY")),0)&lt;=DATE(2030,12,31)),1,0)+IF(AND(Assumptions!B56&lt;&gt;"",IFERROR(DATEVALUE(TEXT(Assumptions!B56,"MM/DD/YYYY")),0)&gt;=DATE(2030,12,1),IFERROR(DATEVALUE(TEXT(Assumptions!B56,"MM/DD/YYYY")),0)&lt;=DATE(2030,12,31)),1,0)+IF(AND(Assumptions!B57&lt;&gt;"",IFERROR(DATEVALUE(TEXT(Assumptions!B57,"MM/DD/YYYY")),0)&gt;=DATE(2030,12,1),IFERROR(DATEVALUE(TEXT(Assumptions!B57,"MM/DD/YYYY")),0)&lt;=DATE(2030,12,31)),1,0)+IF(AND(Assumptions!B58&lt;&gt;"",IFERROR(DATEVALUE(TEXT(Assumptions!B58,"MM/DD/YYYY")),0)&gt;=DATE(2030,12,1),IFERROR(DATEVALUE(TEXT(Assumptions!B58,"MM/DD/YYYY")),0)&lt;=DATE(2030,12,31)),1,0)+IF(AND(Assumptions!B59&lt;&gt;"",IFERROR(DATEVALUE(TEXT(Assumptions!B59,"MM/DD/YYYY")),0)&gt;=DATE(2030,12,1),IFERROR(DATEVALUE(TEXT(Assumptions!B59,"MM/DD/YYYY")),0)&lt;=DATE(2030,12,31)),1,0)+IF(AND(Assumptions!B60&lt;&gt;"",IFERROR(DATEVALUE(TEXT(Assumptions!B60,"MM/DD/YYYY")),0)&gt;=DATE(2030,12,1),IFERROR(DATEVALUE(TEXT(Assumptions!B60,"MM/DD/YYYY")),0)&lt;=DATE(2030,12,31)),1,0))&gt;0,0,'Working Capital'!BA13-'Working Capital'!AZ13)</f>
        <v/>
      </c>
      <c r="BB12" s="156">
        <f>IF((IF(AND(Assumptions!B51&lt;&gt;"",IFERROR(DATEVALUE(TEXT(Assumptions!B51,"MM/DD/YYYY")),0)&gt;=DATE(2031,1,1),IFERROR(DATEVALUE(TEXT(Assumptions!B51,"MM/DD/YYYY")),0)&lt;=DATE(2031,1,31)),1,0)+IF(AND(Assumptions!B52&lt;&gt;"",IFERROR(DATEVALUE(TEXT(Assumptions!B52,"MM/DD/YYYY")),0)&gt;=DATE(2031,1,1),IFERROR(DATEVALUE(TEXT(Assumptions!B52,"MM/DD/YYYY")),0)&lt;=DATE(2031,1,31)),1,0)+IF(AND(Assumptions!B53&lt;&gt;"",IFERROR(DATEVALUE(TEXT(Assumptions!B53,"MM/DD/YYYY")),0)&gt;=DATE(2031,1,1),IFERROR(DATEVALUE(TEXT(Assumptions!B53,"MM/DD/YYYY")),0)&lt;=DATE(2031,1,31)),1,0)+IF(AND(Assumptions!B54&lt;&gt;"",IFERROR(DATEVALUE(TEXT(Assumptions!B54,"MM/DD/YYYY")),0)&gt;=DATE(2031,1,1),IFERROR(DATEVALUE(TEXT(Assumptions!B54,"MM/DD/YYYY")),0)&lt;=DATE(2031,1,31)),1,0)+IF(AND(Assumptions!B55&lt;&gt;"",IFERROR(DATEVALUE(TEXT(Assumptions!B55,"MM/DD/YYYY")),0)&gt;=DATE(2031,1,1),IFERROR(DATEVALUE(TEXT(Assumptions!B55,"MM/DD/YYYY")),0)&lt;=DATE(2031,1,31)),1,0)+IF(AND(Assumptions!B56&lt;&gt;"",IFERROR(DATEVALUE(TEXT(Assumptions!B56,"MM/DD/YYYY")),0)&gt;=DATE(2031,1,1),IFERROR(DATEVALUE(TEXT(Assumptions!B56,"MM/DD/YYYY")),0)&lt;=DATE(2031,1,31)),1,0)+IF(AND(Assumptions!B57&lt;&gt;"",IFERROR(DATEVALUE(TEXT(Assumptions!B57,"MM/DD/YYYY")),0)&gt;=DATE(2031,1,1),IFERROR(DATEVALUE(TEXT(Assumptions!B57,"MM/DD/YYYY")),0)&lt;=DATE(2031,1,31)),1,0)+IF(AND(Assumptions!B58&lt;&gt;"",IFERROR(DATEVALUE(TEXT(Assumptions!B58,"MM/DD/YYYY")),0)&gt;=DATE(2031,1,1),IFERROR(DATEVALUE(TEXT(Assumptions!B58,"MM/DD/YYYY")),0)&lt;=DATE(2031,1,31)),1,0)+IF(AND(Assumptions!B59&lt;&gt;"",IFERROR(DATEVALUE(TEXT(Assumptions!B59,"MM/DD/YYYY")),0)&gt;=DATE(2031,1,1),IFERROR(DATEVALUE(TEXT(Assumptions!B59,"MM/DD/YYYY")),0)&lt;=DATE(2031,1,31)),1,0)+IF(AND(Assumptions!B60&lt;&gt;"",IFERROR(DATEVALUE(TEXT(Assumptions!B60,"MM/DD/YYYY")),0)&gt;=DATE(2031,1,1),IFERROR(DATEVALUE(TEXT(Assumptions!B60,"MM/DD/YYYY")),0)&lt;=DATE(2031,1,31)),1,0))&gt;0,0,'Working Capital'!BB13-'Working Capital'!BA13)</f>
        <v/>
      </c>
      <c r="BC12" s="156">
        <f>IF((IF(AND(Assumptions!B51&lt;&gt;"",IFERROR(DATEVALUE(TEXT(Assumptions!B51,"MM/DD/YYYY")),0)&gt;=DATE(2031,2,1),IFERROR(DATEVALUE(TEXT(Assumptions!B51,"MM/DD/YYYY")),0)&lt;=DATE(2031,2,28)),1,0)+IF(AND(Assumptions!B52&lt;&gt;"",IFERROR(DATEVALUE(TEXT(Assumptions!B52,"MM/DD/YYYY")),0)&gt;=DATE(2031,2,1),IFERROR(DATEVALUE(TEXT(Assumptions!B52,"MM/DD/YYYY")),0)&lt;=DATE(2031,2,28)),1,0)+IF(AND(Assumptions!B53&lt;&gt;"",IFERROR(DATEVALUE(TEXT(Assumptions!B53,"MM/DD/YYYY")),0)&gt;=DATE(2031,2,1),IFERROR(DATEVALUE(TEXT(Assumptions!B53,"MM/DD/YYYY")),0)&lt;=DATE(2031,2,28)),1,0)+IF(AND(Assumptions!B54&lt;&gt;"",IFERROR(DATEVALUE(TEXT(Assumptions!B54,"MM/DD/YYYY")),0)&gt;=DATE(2031,2,1),IFERROR(DATEVALUE(TEXT(Assumptions!B54,"MM/DD/YYYY")),0)&lt;=DATE(2031,2,28)),1,0)+IF(AND(Assumptions!B55&lt;&gt;"",IFERROR(DATEVALUE(TEXT(Assumptions!B55,"MM/DD/YYYY")),0)&gt;=DATE(2031,2,1),IFERROR(DATEVALUE(TEXT(Assumptions!B55,"MM/DD/YYYY")),0)&lt;=DATE(2031,2,28)),1,0)+IF(AND(Assumptions!B56&lt;&gt;"",IFERROR(DATEVALUE(TEXT(Assumptions!B56,"MM/DD/YYYY")),0)&gt;=DATE(2031,2,1),IFERROR(DATEVALUE(TEXT(Assumptions!B56,"MM/DD/YYYY")),0)&lt;=DATE(2031,2,28)),1,0)+IF(AND(Assumptions!B57&lt;&gt;"",IFERROR(DATEVALUE(TEXT(Assumptions!B57,"MM/DD/YYYY")),0)&gt;=DATE(2031,2,1),IFERROR(DATEVALUE(TEXT(Assumptions!B57,"MM/DD/YYYY")),0)&lt;=DATE(2031,2,28)),1,0)+IF(AND(Assumptions!B58&lt;&gt;"",IFERROR(DATEVALUE(TEXT(Assumptions!B58,"MM/DD/YYYY")),0)&gt;=DATE(2031,2,1),IFERROR(DATEVALUE(TEXT(Assumptions!B58,"MM/DD/YYYY")),0)&lt;=DATE(2031,2,28)),1,0)+IF(AND(Assumptions!B59&lt;&gt;"",IFERROR(DATEVALUE(TEXT(Assumptions!B59,"MM/DD/YYYY")),0)&gt;=DATE(2031,2,1),IFERROR(DATEVALUE(TEXT(Assumptions!B59,"MM/DD/YYYY")),0)&lt;=DATE(2031,2,28)),1,0)+IF(AND(Assumptions!B60&lt;&gt;"",IFERROR(DATEVALUE(TEXT(Assumptions!B60,"MM/DD/YYYY")),0)&gt;=DATE(2031,2,1),IFERROR(DATEVALUE(TEXT(Assumptions!B60,"MM/DD/YYYY")),0)&lt;=DATE(2031,2,28)),1,0))&gt;0,0,'Working Capital'!BC13-'Working Capital'!BB13)</f>
        <v/>
      </c>
      <c r="BD12" s="156">
        <f>IF((IF(AND(Assumptions!B51&lt;&gt;"",IFERROR(DATEVALUE(TEXT(Assumptions!B51,"MM/DD/YYYY")),0)&gt;=DATE(2031,3,1),IFERROR(DATEVALUE(TEXT(Assumptions!B51,"MM/DD/YYYY")),0)&lt;=DATE(2031,3,31)),1,0)+IF(AND(Assumptions!B52&lt;&gt;"",IFERROR(DATEVALUE(TEXT(Assumptions!B52,"MM/DD/YYYY")),0)&gt;=DATE(2031,3,1),IFERROR(DATEVALUE(TEXT(Assumptions!B52,"MM/DD/YYYY")),0)&lt;=DATE(2031,3,31)),1,0)+IF(AND(Assumptions!B53&lt;&gt;"",IFERROR(DATEVALUE(TEXT(Assumptions!B53,"MM/DD/YYYY")),0)&gt;=DATE(2031,3,1),IFERROR(DATEVALUE(TEXT(Assumptions!B53,"MM/DD/YYYY")),0)&lt;=DATE(2031,3,31)),1,0)+IF(AND(Assumptions!B54&lt;&gt;"",IFERROR(DATEVALUE(TEXT(Assumptions!B54,"MM/DD/YYYY")),0)&gt;=DATE(2031,3,1),IFERROR(DATEVALUE(TEXT(Assumptions!B54,"MM/DD/YYYY")),0)&lt;=DATE(2031,3,31)),1,0)+IF(AND(Assumptions!B55&lt;&gt;"",IFERROR(DATEVALUE(TEXT(Assumptions!B55,"MM/DD/YYYY")),0)&gt;=DATE(2031,3,1),IFERROR(DATEVALUE(TEXT(Assumptions!B55,"MM/DD/YYYY")),0)&lt;=DATE(2031,3,31)),1,0)+IF(AND(Assumptions!B56&lt;&gt;"",IFERROR(DATEVALUE(TEXT(Assumptions!B56,"MM/DD/YYYY")),0)&gt;=DATE(2031,3,1),IFERROR(DATEVALUE(TEXT(Assumptions!B56,"MM/DD/YYYY")),0)&lt;=DATE(2031,3,31)),1,0)+IF(AND(Assumptions!B57&lt;&gt;"",IFERROR(DATEVALUE(TEXT(Assumptions!B57,"MM/DD/YYYY")),0)&gt;=DATE(2031,3,1),IFERROR(DATEVALUE(TEXT(Assumptions!B57,"MM/DD/YYYY")),0)&lt;=DATE(2031,3,31)),1,0)+IF(AND(Assumptions!B58&lt;&gt;"",IFERROR(DATEVALUE(TEXT(Assumptions!B58,"MM/DD/YYYY")),0)&gt;=DATE(2031,3,1),IFERROR(DATEVALUE(TEXT(Assumptions!B58,"MM/DD/YYYY")),0)&lt;=DATE(2031,3,31)),1,0)+IF(AND(Assumptions!B59&lt;&gt;"",IFERROR(DATEVALUE(TEXT(Assumptions!B59,"MM/DD/YYYY")),0)&gt;=DATE(2031,3,1),IFERROR(DATEVALUE(TEXT(Assumptions!B59,"MM/DD/YYYY")),0)&lt;=DATE(2031,3,31)),1,0)+IF(AND(Assumptions!B60&lt;&gt;"",IFERROR(DATEVALUE(TEXT(Assumptions!B60,"MM/DD/YYYY")),0)&gt;=DATE(2031,3,1),IFERROR(DATEVALUE(TEXT(Assumptions!B60,"MM/DD/YYYY")),0)&lt;=DATE(2031,3,31)),1,0))&gt;0,0,'Working Capital'!BD13-'Working Capital'!BC13)</f>
        <v/>
      </c>
      <c r="BE12" s="156">
        <f>IF((IF(AND(Assumptions!B51&lt;&gt;"",IFERROR(DATEVALUE(TEXT(Assumptions!B51,"MM/DD/YYYY")),0)&gt;=DATE(2031,4,1),IFERROR(DATEVALUE(TEXT(Assumptions!B51,"MM/DD/YYYY")),0)&lt;=DATE(2031,4,30)),1,0)+IF(AND(Assumptions!B52&lt;&gt;"",IFERROR(DATEVALUE(TEXT(Assumptions!B52,"MM/DD/YYYY")),0)&gt;=DATE(2031,4,1),IFERROR(DATEVALUE(TEXT(Assumptions!B52,"MM/DD/YYYY")),0)&lt;=DATE(2031,4,30)),1,0)+IF(AND(Assumptions!B53&lt;&gt;"",IFERROR(DATEVALUE(TEXT(Assumptions!B53,"MM/DD/YYYY")),0)&gt;=DATE(2031,4,1),IFERROR(DATEVALUE(TEXT(Assumptions!B53,"MM/DD/YYYY")),0)&lt;=DATE(2031,4,30)),1,0)+IF(AND(Assumptions!B54&lt;&gt;"",IFERROR(DATEVALUE(TEXT(Assumptions!B54,"MM/DD/YYYY")),0)&gt;=DATE(2031,4,1),IFERROR(DATEVALUE(TEXT(Assumptions!B54,"MM/DD/YYYY")),0)&lt;=DATE(2031,4,30)),1,0)+IF(AND(Assumptions!B55&lt;&gt;"",IFERROR(DATEVALUE(TEXT(Assumptions!B55,"MM/DD/YYYY")),0)&gt;=DATE(2031,4,1),IFERROR(DATEVALUE(TEXT(Assumptions!B55,"MM/DD/YYYY")),0)&lt;=DATE(2031,4,30)),1,0)+IF(AND(Assumptions!B56&lt;&gt;"",IFERROR(DATEVALUE(TEXT(Assumptions!B56,"MM/DD/YYYY")),0)&gt;=DATE(2031,4,1),IFERROR(DATEVALUE(TEXT(Assumptions!B56,"MM/DD/YYYY")),0)&lt;=DATE(2031,4,30)),1,0)+IF(AND(Assumptions!B57&lt;&gt;"",IFERROR(DATEVALUE(TEXT(Assumptions!B57,"MM/DD/YYYY")),0)&gt;=DATE(2031,4,1),IFERROR(DATEVALUE(TEXT(Assumptions!B57,"MM/DD/YYYY")),0)&lt;=DATE(2031,4,30)),1,0)+IF(AND(Assumptions!B58&lt;&gt;"",IFERROR(DATEVALUE(TEXT(Assumptions!B58,"MM/DD/YYYY")),0)&gt;=DATE(2031,4,1),IFERROR(DATEVALUE(TEXT(Assumptions!B58,"MM/DD/YYYY")),0)&lt;=DATE(2031,4,30)),1,0)+IF(AND(Assumptions!B59&lt;&gt;"",IFERROR(DATEVALUE(TEXT(Assumptions!B59,"MM/DD/YYYY")),0)&gt;=DATE(2031,4,1),IFERROR(DATEVALUE(TEXT(Assumptions!B59,"MM/DD/YYYY")),0)&lt;=DATE(2031,4,30)),1,0)+IF(AND(Assumptions!B60&lt;&gt;"",IFERROR(DATEVALUE(TEXT(Assumptions!B60,"MM/DD/YYYY")),0)&gt;=DATE(2031,4,1),IFERROR(DATEVALUE(TEXT(Assumptions!B60,"MM/DD/YYYY")),0)&lt;=DATE(2031,4,30)),1,0))&gt;0,0,'Working Capital'!BE13-'Working Capital'!BD13)</f>
        <v/>
      </c>
      <c r="BF12" s="156">
        <f>IF((IF(AND(Assumptions!B51&lt;&gt;"",IFERROR(DATEVALUE(TEXT(Assumptions!B51,"MM/DD/YYYY")),0)&gt;=DATE(2031,5,1),IFERROR(DATEVALUE(TEXT(Assumptions!B51,"MM/DD/YYYY")),0)&lt;=DATE(2031,5,31)),1,0)+IF(AND(Assumptions!B52&lt;&gt;"",IFERROR(DATEVALUE(TEXT(Assumptions!B52,"MM/DD/YYYY")),0)&gt;=DATE(2031,5,1),IFERROR(DATEVALUE(TEXT(Assumptions!B52,"MM/DD/YYYY")),0)&lt;=DATE(2031,5,31)),1,0)+IF(AND(Assumptions!B53&lt;&gt;"",IFERROR(DATEVALUE(TEXT(Assumptions!B53,"MM/DD/YYYY")),0)&gt;=DATE(2031,5,1),IFERROR(DATEVALUE(TEXT(Assumptions!B53,"MM/DD/YYYY")),0)&lt;=DATE(2031,5,31)),1,0)+IF(AND(Assumptions!B54&lt;&gt;"",IFERROR(DATEVALUE(TEXT(Assumptions!B54,"MM/DD/YYYY")),0)&gt;=DATE(2031,5,1),IFERROR(DATEVALUE(TEXT(Assumptions!B54,"MM/DD/YYYY")),0)&lt;=DATE(2031,5,31)),1,0)+IF(AND(Assumptions!B55&lt;&gt;"",IFERROR(DATEVALUE(TEXT(Assumptions!B55,"MM/DD/YYYY")),0)&gt;=DATE(2031,5,1),IFERROR(DATEVALUE(TEXT(Assumptions!B55,"MM/DD/YYYY")),0)&lt;=DATE(2031,5,31)),1,0)+IF(AND(Assumptions!B56&lt;&gt;"",IFERROR(DATEVALUE(TEXT(Assumptions!B56,"MM/DD/YYYY")),0)&gt;=DATE(2031,5,1),IFERROR(DATEVALUE(TEXT(Assumptions!B56,"MM/DD/YYYY")),0)&lt;=DATE(2031,5,31)),1,0)+IF(AND(Assumptions!B57&lt;&gt;"",IFERROR(DATEVALUE(TEXT(Assumptions!B57,"MM/DD/YYYY")),0)&gt;=DATE(2031,5,1),IFERROR(DATEVALUE(TEXT(Assumptions!B57,"MM/DD/YYYY")),0)&lt;=DATE(2031,5,31)),1,0)+IF(AND(Assumptions!B58&lt;&gt;"",IFERROR(DATEVALUE(TEXT(Assumptions!B58,"MM/DD/YYYY")),0)&gt;=DATE(2031,5,1),IFERROR(DATEVALUE(TEXT(Assumptions!B58,"MM/DD/YYYY")),0)&lt;=DATE(2031,5,31)),1,0)+IF(AND(Assumptions!B59&lt;&gt;"",IFERROR(DATEVALUE(TEXT(Assumptions!B59,"MM/DD/YYYY")),0)&gt;=DATE(2031,5,1),IFERROR(DATEVALUE(TEXT(Assumptions!B59,"MM/DD/YYYY")),0)&lt;=DATE(2031,5,31)),1,0)+IF(AND(Assumptions!B60&lt;&gt;"",IFERROR(DATEVALUE(TEXT(Assumptions!B60,"MM/DD/YYYY")),0)&gt;=DATE(2031,5,1),IFERROR(DATEVALUE(TEXT(Assumptions!B60,"MM/DD/YYYY")),0)&lt;=DATE(2031,5,31)),1,0))&gt;0,0,'Working Capital'!BF13-'Working Capital'!BE13)</f>
        <v/>
      </c>
      <c r="BG12" s="156">
        <f>IF((IF(AND(Assumptions!B51&lt;&gt;"",IFERROR(DATEVALUE(TEXT(Assumptions!B51,"MM/DD/YYYY")),0)&gt;=DATE(2031,6,1),IFERROR(DATEVALUE(TEXT(Assumptions!B51,"MM/DD/YYYY")),0)&lt;=DATE(2031,6,30)),1,0)+IF(AND(Assumptions!B52&lt;&gt;"",IFERROR(DATEVALUE(TEXT(Assumptions!B52,"MM/DD/YYYY")),0)&gt;=DATE(2031,6,1),IFERROR(DATEVALUE(TEXT(Assumptions!B52,"MM/DD/YYYY")),0)&lt;=DATE(2031,6,30)),1,0)+IF(AND(Assumptions!B53&lt;&gt;"",IFERROR(DATEVALUE(TEXT(Assumptions!B53,"MM/DD/YYYY")),0)&gt;=DATE(2031,6,1),IFERROR(DATEVALUE(TEXT(Assumptions!B53,"MM/DD/YYYY")),0)&lt;=DATE(2031,6,30)),1,0)+IF(AND(Assumptions!B54&lt;&gt;"",IFERROR(DATEVALUE(TEXT(Assumptions!B54,"MM/DD/YYYY")),0)&gt;=DATE(2031,6,1),IFERROR(DATEVALUE(TEXT(Assumptions!B54,"MM/DD/YYYY")),0)&lt;=DATE(2031,6,30)),1,0)+IF(AND(Assumptions!B55&lt;&gt;"",IFERROR(DATEVALUE(TEXT(Assumptions!B55,"MM/DD/YYYY")),0)&gt;=DATE(2031,6,1),IFERROR(DATEVALUE(TEXT(Assumptions!B55,"MM/DD/YYYY")),0)&lt;=DATE(2031,6,30)),1,0)+IF(AND(Assumptions!B56&lt;&gt;"",IFERROR(DATEVALUE(TEXT(Assumptions!B56,"MM/DD/YYYY")),0)&gt;=DATE(2031,6,1),IFERROR(DATEVALUE(TEXT(Assumptions!B56,"MM/DD/YYYY")),0)&lt;=DATE(2031,6,30)),1,0)+IF(AND(Assumptions!B57&lt;&gt;"",IFERROR(DATEVALUE(TEXT(Assumptions!B57,"MM/DD/YYYY")),0)&gt;=DATE(2031,6,1),IFERROR(DATEVALUE(TEXT(Assumptions!B57,"MM/DD/YYYY")),0)&lt;=DATE(2031,6,30)),1,0)+IF(AND(Assumptions!B58&lt;&gt;"",IFERROR(DATEVALUE(TEXT(Assumptions!B58,"MM/DD/YYYY")),0)&gt;=DATE(2031,6,1),IFERROR(DATEVALUE(TEXT(Assumptions!B58,"MM/DD/YYYY")),0)&lt;=DATE(2031,6,30)),1,0)+IF(AND(Assumptions!B59&lt;&gt;"",IFERROR(DATEVALUE(TEXT(Assumptions!B59,"MM/DD/YYYY")),0)&gt;=DATE(2031,6,1),IFERROR(DATEVALUE(TEXT(Assumptions!B59,"MM/DD/YYYY")),0)&lt;=DATE(2031,6,30)),1,0)+IF(AND(Assumptions!B60&lt;&gt;"",IFERROR(DATEVALUE(TEXT(Assumptions!B60,"MM/DD/YYYY")),0)&gt;=DATE(2031,6,1),IFERROR(DATEVALUE(TEXT(Assumptions!B60,"MM/DD/YYYY")),0)&lt;=DATE(2031,6,30)),1,0))&gt;0,0,'Working Capital'!BG13-'Working Capital'!BF13)</f>
        <v/>
      </c>
      <c r="BH12" s="156">
        <f>IF((IF(AND(Assumptions!B51&lt;&gt;"",IFERROR(DATEVALUE(TEXT(Assumptions!B51,"MM/DD/YYYY")),0)&gt;=DATE(2031,7,1),IFERROR(DATEVALUE(TEXT(Assumptions!B51,"MM/DD/YYYY")),0)&lt;=DATE(2031,7,31)),1,0)+IF(AND(Assumptions!B52&lt;&gt;"",IFERROR(DATEVALUE(TEXT(Assumptions!B52,"MM/DD/YYYY")),0)&gt;=DATE(2031,7,1),IFERROR(DATEVALUE(TEXT(Assumptions!B52,"MM/DD/YYYY")),0)&lt;=DATE(2031,7,31)),1,0)+IF(AND(Assumptions!B53&lt;&gt;"",IFERROR(DATEVALUE(TEXT(Assumptions!B53,"MM/DD/YYYY")),0)&gt;=DATE(2031,7,1),IFERROR(DATEVALUE(TEXT(Assumptions!B53,"MM/DD/YYYY")),0)&lt;=DATE(2031,7,31)),1,0)+IF(AND(Assumptions!B54&lt;&gt;"",IFERROR(DATEVALUE(TEXT(Assumptions!B54,"MM/DD/YYYY")),0)&gt;=DATE(2031,7,1),IFERROR(DATEVALUE(TEXT(Assumptions!B54,"MM/DD/YYYY")),0)&lt;=DATE(2031,7,31)),1,0)+IF(AND(Assumptions!B55&lt;&gt;"",IFERROR(DATEVALUE(TEXT(Assumptions!B55,"MM/DD/YYYY")),0)&gt;=DATE(2031,7,1),IFERROR(DATEVALUE(TEXT(Assumptions!B55,"MM/DD/YYYY")),0)&lt;=DATE(2031,7,31)),1,0)+IF(AND(Assumptions!B56&lt;&gt;"",IFERROR(DATEVALUE(TEXT(Assumptions!B56,"MM/DD/YYYY")),0)&gt;=DATE(2031,7,1),IFERROR(DATEVALUE(TEXT(Assumptions!B56,"MM/DD/YYYY")),0)&lt;=DATE(2031,7,31)),1,0)+IF(AND(Assumptions!B57&lt;&gt;"",IFERROR(DATEVALUE(TEXT(Assumptions!B57,"MM/DD/YYYY")),0)&gt;=DATE(2031,7,1),IFERROR(DATEVALUE(TEXT(Assumptions!B57,"MM/DD/YYYY")),0)&lt;=DATE(2031,7,31)),1,0)+IF(AND(Assumptions!B58&lt;&gt;"",IFERROR(DATEVALUE(TEXT(Assumptions!B58,"MM/DD/YYYY")),0)&gt;=DATE(2031,7,1),IFERROR(DATEVALUE(TEXT(Assumptions!B58,"MM/DD/YYYY")),0)&lt;=DATE(2031,7,31)),1,0)+IF(AND(Assumptions!B59&lt;&gt;"",IFERROR(DATEVALUE(TEXT(Assumptions!B59,"MM/DD/YYYY")),0)&gt;=DATE(2031,7,1),IFERROR(DATEVALUE(TEXT(Assumptions!B59,"MM/DD/YYYY")),0)&lt;=DATE(2031,7,31)),1,0)+IF(AND(Assumptions!B60&lt;&gt;"",IFERROR(DATEVALUE(TEXT(Assumptions!B60,"MM/DD/YYYY")),0)&gt;=DATE(2031,7,1),IFERROR(DATEVALUE(TEXT(Assumptions!B60,"MM/DD/YYYY")),0)&lt;=DATE(2031,7,31)),1,0))&gt;0,0,'Working Capital'!BH13-'Working Capital'!BG13)</f>
        <v/>
      </c>
      <c r="BI12" s="156">
        <f>IF((IF(AND(Assumptions!B51&lt;&gt;"",IFERROR(DATEVALUE(TEXT(Assumptions!B51,"MM/DD/YYYY")),0)&gt;=DATE(2031,8,1),IFERROR(DATEVALUE(TEXT(Assumptions!B51,"MM/DD/YYYY")),0)&lt;=DATE(2031,8,31)),1,0)+IF(AND(Assumptions!B52&lt;&gt;"",IFERROR(DATEVALUE(TEXT(Assumptions!B52,"MM/DD/YYYY")),0)&gt;=DATE(2031,8,1),IFERROR(DATEVALUE(TEXT(Assumptions!B52,"MM/DD/YYYY")),0)&lt;=DATE(2031,8,31)),1,0)+IF(AND(Assumptions!B53&lt;&gt;"",IFERROR(DATEVALUE(TEXT(Assumptions!B53,"MM/DD/YYYY")),0)&gt;=DATE(2031,8,1),IFERROR(DATEVALUE(TEXT(Assumptions!B53,"MM/DD/YYYY")),0)&lt;=DATE(2031,8,31)),1,0)+IF(AND(Assumptions!B54&lt;&gt;"",IFERROR(DATEVALUE(TEXT(Assumptions!B54,"MM/DD/YYYY")),0)&gt;=DATE(2031,8,1),IFERROR(DATEVALUE(TEXT(Assumptions!B54,"MM/DD/YYYY")),0)&lt;=DATE(2031,8,31)),1,0)+IF(AND(Assumptions!B55&lt;&gt;"",IFERROR(DATEVALUE(TEXT(Assumptions!B55,"MM/DD/YYYY")),0)&gt;=DATE(2031,8,1),IFERROR(DATEVALUE(TEXT(Assumptions!B55,"MM/DD/YYYY")),0)&lt;=DATE(2031,8,31)),1,0)+IF(AND(Assumptions!B56&lt;&gt;"",IFERROR(DATEVALUE(TEXT(Assumptions!B56,"MM/DD/YYYY")),0)&gt;=DATE(2031,8,1),IFERROR(DATEVALUE(TEXT(Assumptions!B56,"MM/DD/YYYY")),0)&lt;=DATE(2031,8,31)),1,0)+IF(AND(Assumptions!B57&lt;&gt;"",IFERROR(DATEVALUE(TEXT(Assumptions!B57,"MM/DD/YYYY")),0)&gt;=DATE(2031,8,1),IFERROR(DATEVALUE(TEXT(Assumptions!B57,"MM/DD/YYYY")),0)&lt;=DATE(2031,8,31)),1,0)+IF(AND(Assumptions!B58&lt;&gt;"",IFERROR(DATEVALUE(TEXT(Assumptions!B58,"MM/DD/YYYY")),0)&gt;=DATE(2031,8,1),IFERROR(DATEVALUE(TEXT(Assumptions!B58,"MM/DD/YYYY")),0)&lt;=DATE(2031,8,31)),1,0)+IF(AND(Assumptions!B59&lt;&gt;"",IFERROR(DATEVALUE(TEXT(Assumptions!B59,"MM/DD/YYYY")),0)&gt;=DATE(2031,8,1),IFERROR(DATEVALUE(TEXT(Assumptions!B59,"MM/DD/YYYY")),0)&lt;=DATE(2031,8,31)),1,0)+IF(AND(Assumptions!B60&lt;&gt;"",IFERROR(DATEVALUE(TEXT(Assumptions!B60,"MM/DD/YYYY")),0)&gt;=DATE(2031,8,1),IFERROR(DATEVALUE(TEXT(Assumptions!B60,"MM/DD/YYYY")),0)&lt;=DATE(2031,8,31)),1,0))&gt;0,0,'Working Capital'!BI13-'Working Capital'!BH13)</f>
        <v/>
      </c>
      <c r="BJ12" s="156">
        <f>IF((IF(AND(Assumptions!B51&lt;&gt;"",IFERROR(DATEVALUE(TEXT(Assumptions!B51,"MM/DD/YYYY")),0)&gt;=DATE(2031,9,1),IFERROR(DATEVALUE(TEXT(Assumptions!B51,"MM/DD/YYYY")),0)&lt;=DATE(2031,9,30)),1,0)+IF(AND(Assumptions!B52&lt;&gt;"",IFERROR(DATEVALUE(TEXT(Assumptions!B52,"MM/DD/YYYY")),0)&gt;=DATE(2031,9,1),IFERROR(DATEVALUE(TEXT(Assumptions!B52,"MM/DD/YYYY")),0)&lt;=DATE(2031,9,30)),1,0)+IF(AND(Assumptions!B53&lt;&gt;"",IFERROR(DATEVALUE(TEXT(Assumptions!B53,"MM/DD/YYYY")),0)&gt;=DATE(2031,9,1),IFERROR(DATEVALUE(TEXT(Assumptions!B53,"MM/DD/YYYY")),0)&lt;=DATE(2031,9,30)),1,0)+IF(AND(Assumptions!B54&lt;&gt;"",IFERROR(DATEVALUE(TEXT(Assumptions!B54,"MM/DD/YYYY")),0)&gt;=DATE(2031,9,1),IFERROR(DATEVALUE(TEXT(Assumptions!B54,"MM/DD/YYYY")),0)&lt;=DATE(2031,9,30)),1,0)+IF(AND(Assumptions!B55&lt;&gt;"",IFERROR(DATEVALUE(TEXT(Assumptions!B55,"MM/DD/YYYY")),0)&gt;=DATE(2031,9,1),IFERROR(DATEVALUE(TEXT(Assumptions!B55,"MM/DD/YYYY")),0)&lt;=DATE(2031,9,30)),1,0)+IF(AND(Assumptions!B56&lt;&gt;"",IFERROR(DATEVALUE(TEXT(Assumptions!B56,"MM/DD/YYYY")),0)&gt;=DATE(2031,9,1),IFERROR(DATEVALUE(TEXT(Assumptions!B56,"MM/DD/YYYY")),0)&lt;=DATE(2031,9,30)),1,0)+IF(AND(Assumptions!B57&lt;&gt;"",IFERROR(DATEVALUE(TEXT(Assumptions!B57,"MM/DD/YYYY")),0)&gt;=DATE(2031,9,1),IFERROR(DATEVALUE(TEXT(Assumptions!B57,"MM/DD/YYYY")),0)&lt;=DATE(2031,9,30)),1,0)+IF(AND(Assumptions!B58&lt;&gt;"",IFERROR(DATEVALUE(TEXT(Assumptions!B58,"MM/DD/YYYY")),0)&gt;=DATE(2031,9,1),IFERROR(DATEVALUE(TEXT(Assumptions!B58,"MM/DD/YYYY")),0)&lt;=DATE(2031,9,30)),1,0)+IF(AND(Assumptions!B59&lt;&gt;"",IFERROR(DATEVALUE(TEXT(Assumptions!B59,"MM/DD/YYYY")),0)&gt;=DATE(2031,9,1),IFERROR(DATEVALUE(TEXT(Assumptions!B59,"MM/DD/YYYY")),0)&lt;=DATE(2031,9,30)),1,0)+IF(AND(Assumptions!B60&lt;&gt;"",IFERROR(DATEVALUE(TEXT(Assumptions!B60,"MM/DD/YYYY")),0)&gt;=DATE(2031,9,1),IFERROR(DATEVALUE(TEXT(Assumptions!B60,"MM/DD/YYYY")),0)&lt;=DATE(2031,9,30)),1,0))&gt;0,0,'Working Capital'!BJ13-'Working Capital'!BI13)</f>
        <v/>
      </c>
      <c r="BL12" s="157">
        <f>C12+D12+E12+F12+G12+H12+I12+J12+K12+L12+M12+N12</f>
        <v/>
      </c>
      <c r="BM12" s="157">
        <f>O12+P12+Q12+R12+S12+T12+U12+V12+W12+X12+Y12+Z12</f>
        <v/>
      </c>
      <c r="BN12" s="157">
        <f>AA12+AB12+AC12+AD12+AE12+AF12+AG12+AH12+AI12+AJ12+AK12+AL12</f>
        <v/>
      </c>
      <c r="BO12" s="157">
        <f>AM12+AN12+AO12+AP12+AQ12+AR12+AS12+AT12+AU12+AV12+AW12+AX12</f>
        <v/>
      </c>
      <c r="BP12" s="157">
        <f>AY12+AZ12+BA12+BB12+BC12+BD12+BE12+BF12+BG12+BH12+BI12+BJ12</f>
        <v/>
      </c>
    </row>
    <row r="13" ht="15" customHeight="1" s="104">
      <c r="A13" s="107" t="inlineStr">
        <is>
          <t xml:space="preserve">        Increase / (Decrease) in Accrued Liabilities</t>
        </is>
      </c>
      <c r="C13" s="156">
        <f>0</f>
        <v/>
      </c>
      <c r="D13" s="156">
        <f>IF((IF(AND(Assumptions!B51&lt;&gt;"",IFERROR(DATEVALUE(TEXT(Assumptions!B51,"MM/DD/YYYY")),0)&gt;=DATE(2026,11,1),IFERROR(DATEVALUE(TEXT(Assumptions!B51,"MM/DD/YYYY")),0)&lt;=DATE(2026,11,30)),1,0)+IF(AND(Assumptions!B52&lt;&gt;"",IFERROR(DATEVALUE(TEXT(Assumptions!B52,"MM/DD/YYYY")),0)&gt;=DATE(2026,11,1),IFERROR(DATEVALUE(TEXT(Assumptions!B52,"MM/DD/YYYY")),0)&lt;=DATE(2026,11,30)),1,0)+IF(AND(Assumptions!B53&lt;&gt;"",IFERROR(DATEVALUE(TEXT(Assumptions!B53,"MM/DD/YYYY")),0)&gt;=DATE(2026,11,1),IFERROR(DATEVALUE(TEXT(Assumptions!B53,"MM/DD/YYYY")),0)&lt;=DATE(2026,11,30)),1,0)+IF(AND(Assumptions!B54&lt;&gt;"",IFERROR(DATEVALUE(TEXT(Assumptions!B54,"MM/DD/YYYY")),0)&gt;=DATE(2026,11,1),IFERROR(DATEVALUE(TEXT(Assumptions!B54,"MM/DD/YYYY")),0)&lt;=DATE(2026,11,30)),1,0)+IF(AND(Assumptions!B55&lt;&gt;"",IFERROR(DATEVALUE(TEXT(Assumptions!B55,"MM/DD/YYYY")),0)&gt;=DATE(2026,11,1),IFERROR(DATEVALUE(TEXT(Assumptions!B55,"MM/DD/YYYY")),0)&lt;=DATE(2026,11,30)),1,0)+IF(AND(Assumptions!B56&lt;&gt;"",IFERROR(DATEVALUE(TEXT(Assumptions!B56,"MM/DD/YYYY")),0)&gt;=DATE(2026,11,1),IFERROR(DATEVALUE(TEXT(Assumptions!B56,"MM/DD/YYYY")),0)&lt;=DATE(2026,11,30)),1,0)+IF(AND(Assumptions!B57&lt;&gt;"",IFERROR(DATEVALUE(TEXT(Assumptions!B57,"MM/DD/YYYY")),0)&gt;=DATE(2026,11,1),IFERROR(DATEVALUE(TEXT(Assumptions!B57,"MM/DD/YYYY")),0)&lt;=DATE(2026,11,30)),1,0)+IF(AND(Assumptions!B58&lt;&gt;"",IFERROR(DATEVALUE(TEXT(Assumptions!B58,"MM/DD/YYYY")),0)&gt;=DATE(2026,11,1),IFERROR(DATEVALUE(TEXT(Assumptions!B58,"MM/DD/YYYY")),0)&lt;=DATE(2026,11,30)),1,0)+IF(AND(Assumptions!B59&lt;&gt;"",IFERROR(DATEVALUE(TEXT(Assumptions!B59,"MM/DD/YYYY")),0)&gt;=DATE(2026,11,1),IFERROR(DATEVALUE(TEXT(Assumptions!B59,"MM/DD/YYYY")),0)&lt;=DATE(2026,11,30)),1,0)+IF(AND(Assumptions!B60&lt;&gt;"",IFERROR(DATEVALUE(TEXT(Assumptions!B60,"MM/DD/YYYY")),0)&gt;=DATE(2026,11,1),IFERROR(DATEVALUE(TEXT(Assumptions!B60,"MM/DD/YYYY")),0)&lt;=DATE(2026,11,30)),1,0))&gt;0,0,'Working Capital'!D15-'Working Capital'!C15)</f>
        <v/>
      </c>
      <c r="E13" s="156">
        <f>IF((IF(AND(Assumptions!B51&lt;&gt;"",IFERROR(DATEVALUE(TEXT(Assumptions!B51,"MM/DD/YYYY")),0)&gt;=DATE(2026,12,1),IFERROR(DATEVALUE(TEXT(Assumptions!B51,"MM/DD/YYYY")),0)&lt;=DATE(2026,12,31)),1,0)+IF(AND(Assumptions!B52&lt;&gt;"",IFERROR(DATEVALUE(TEXT(Assumptions!B52,"MM/DD/YYYY")),0)&gt;=DATE(2026,12,1),IFERROR(DATEVALUE(TEXT(Assumptions!B52,"MM/DD/YYYY")),0)&lt;=DATE(2026,12,31)),1,0)+IF(AND(Assumptions!B53&lt;&gt;"",IFERROR(DATEVALUE(TEXT(Assumptions!B53,"MM/DD/YYYY")),0)&gt;=DATE(2026,12,1),IFERROR(DATEVALUE(TEXT(Assumptions!B53,"MM/DD/YYYY")),0)&lt;=DATE(2026,12,31)),1,0)+IF(AND(Assumptions!B54&lt;&gt;"",IFERROR(DATEVALUE(TEXT(Assumptions!B54,"MM/DD/YYYY")),0)&gt;=DATE(2026,12,1),IFERROR(DATEVALUE(TEXT(Assumptions!B54,"MM/DD/YYYY")),0)&lt;=DATE(2026,12,31)),1,0)+IF(AND(Assumptions!B55&lt;&gt;"",IFERROR(DATEVALUE(TEXT(Assumptions!B55,"MM/DD/YYYY")),0)&gt;=DATE(2026,12,1),IFERROR(DATEVALUE(TEXT(Assumptions!B55,"MM/DD/YYYY")),0)&lt;=DATE(2026,12,31)),1,0)+IF(AND(Assumptions!B56&lt;&gt;"",IFERROR(DATEVALUE(TEXT(Assumptions!B56,"MM/DD/YYYY")),0)&gt;=DATE(2026,12,1),IFERROR(DATEVALUE(TEXT(Assumptions!B56,"MM/DD/YYYY")),0)&lt;=DATE(2026,12,31)),1,0)+IF(AND(Assumptions!B57&lt;&gt;"",IFERROR(DATEVALUE(TEXT(Assumptions!B57,"MM/DD/YYYY")),0)&gt;=DATE(2026,12,1),IFERROR(DATEVALUE(TEXT(Assumptions!B57,"MM/DD/YYYY")),0)&lt;=DATE(2026,12,31)),1,0)+IF(AND(Assumptions!B58&lt;&gt;"",IFERROR(DATEVALUE(TEXT(Assumptions!B58,"MM/DD/YYYY")),0)&gt;=DATE(2026,12,1),IFERROR(DATEVALUE(TEXT(Assumptions!B58,"MM/DD/YYYY")),0)&lt;=DATE(2026,12,31)),1,0)+IF(AND(Assumptions!B59&lt;&gt;"",IFERROR(DATEVALUE(TEXT(Assumptions!B59,"MM/DD/YYYY")),0)&gt;=DATE(2026,12,1),IFERROR(DATEVALUE(TEXT(Assumptions!B59,"MM/DD/YYYY")),0)&lt;=DATE(2026,12,31)),1,0)+IF(AND(Assumptions!B60&lt;&gt;"",IFERROR(DATEVALUE(TEXT(Assumptions!B60,"MM/DD/YYYY")),0)&gt;=DATE(2026,12,1),IFERROR(DATEVALUE(TEXT(Assumptions!B60,"MM/DD/YYYY")),0)&lt;=DATE(2026,12,31)),1,0))&gt;0,0,'Working Capital'!E15-'Working Capital'!D15)</f>
        <v/>
      </c>
      <c r="F13" s="156">
        <f>IF((IF(AND(Assumptions!B51&lt;&gt;"",IFERROR(DATEVALUE(TEXT(Assumptions!B51,"MM/DD/YYYY")),0)&gt;=DATE(2027,1,1),IFERROR(DATEVALUE(TEXT(Assumptions!B51,"MM/DD/YYYY")),0)&lt;=DATE(2027,1,31)),1,0)+IF(AND(Assumptions!B52&lt;&gt;"",IFERROR(DATEVALUE(TEXT(Assumptions!B52,"MM/DD/YYYY")),0)&gt;=DATE(2027,1,1),IFERROR(DATEVALUE(TEXT(Assumptions!B52,"MM/DD/YYYY")),0)&lt;=DATE(2027,1,31)),1,0)+IF(AND(Assumptions!B53&lt;&gt;"",IFERROR(DATEVALUE(TEXT(Assumptions!B53,"MM/DD/YYYY")),0)&gt;=DATE(2027,1,1),IFERROR(DATEVALUE(TEXT(Assumptions!B53,"MM/DD/YYYY")),0)&lt;=DATE(2027,1,31)),1,0)+IF(AND(Assumptions!B54&lt;&gt;"",IFERROR(DATEVALUE(TEXT(Assumptions!B54,"MM/DD/YYYY")),0)&gt;=DATE(2027,1,1),IFERROR(DATEVALUE(TEXT(Assumptions!B54,"MM/DD/YYYY")),0)&lt;=DATE(2027,1,31)),1,0)+IF(AND(Assumptions!B55&lt;&gt;"",IFERROR(DATEVALUE(TEXT(Assumptions!B55,"MM/DD/YYYY")),0)&gt;=DATE(2027,1,1),IFERROR(DATEVALUE(TEXT(Assumptions!B55,"MM/DD/YYYY")),0)&lt;=DATE(2027,1,31)),1,0)+IF(AND(Assumptions!B56&lt;&gt;"",IFERROR(DATEVALUE(TEXT(Assumptions!B56,"MM/DD/YYYY")),0)&gt;=DATE(2027,1,1),IFERROR(DATEVALUE(TEXT(Assumptions!B56,"MM/DD/YYYY")),0)&lt;=DATE(2027,1,31)),1,0)+IF(AND(Assumptions!B57&lt;&gt;"",IFERROR(DATEVALUE(TEXT(Assumptions!B57,"MM/DD/YYYY")),0)&gt;=DATE(2027,1,1),IFERROR(DATEVALUE(TEXT(Assumptions!B57,"MM/DD/YYYY")),0)&lt;=DATE(2027,1,31)),1,0)+IF(AND(Assumptions!B58&lt;&gt;"",IFERROR(DATEVALUE(TEXT(Assumptions!B58,"MM/DD/YYYY")),0)&gt;=DATE(2027,1,1),IFERROR(DATEVALUE(TEXT(Assumptions!B58,"MM/DD/YYYY")),0)&lt;=DATE(2027,1,31)),1,0)+IF(AND(Assumptions!B59&lt;&gt;"",IFERROR(DATEVALUE(TEXT(Assumptions!B59,"MM/DD/YYYY")),0)&gt;=DATE(2027,1,1),IFERROR(DATEVALUE(TEXT(Assumptions!B59,"MM/DD/YYYY")),0)&lt;=DATE(2027,1,31)),1,0)+IF(AND(Assumptions!B60&lt;&gt;"",IFERROR(DATEVALUE(TEXT(Assumptions!B60,"MM/DD/YYYY")),0)&gt;=DATE(2027,1,1),IFERROR(DATEVALUE(TEXT(Assumptions!B60,"MM/DD/YYYY")),0)&lt;=DATE(2027,1,31)),1,0))&gt;0,0,'Working Capital'!F15-'Working Capital'!E15)</f>
        <v/>
      </c>
      <c r="G13" s="156">
        <f>IF((IF(AND(Assumptions!B51&lt;&gt;"",IFERROR(DATEVALUE(TEXT(Assumptions!B51,"MM/DD/YYYY")),0)&gt;=DATE(2027,2,1),IFERROR(DATEVALUE(TEXT(Assumptions!B51,"MM/DD/YYYY")),0)&lt;=DATE(2027,2,28)),1,0)+IF(AND(Assumptions!B52&lt;&gt;"",IFERROR(DATEVALUE(TEXT(Assumptions!B52,"MM/DD/YYYY")),0)&gt;=DATE(2027,2,1),IFERROR(DATEVALUE(TEXT(Assumptions!B52,"MM/DD/YYYY")),0)&lt;=DATE(2027,2,28)),1,0)+IF(AND(Assumptions!B53&lt;&gt;"",IFERROR(DATEVALUE(TEXT(Assumptions!B53,"MM/DD/YYYY")),0)&gt;=DATE(2027,2,1),IFERROR(DATEVALUE(TEXT(Assumptions!B53,"MM/DD/YYYY")),0)&lt;=DATE(2027,2,28)),1,0)+IF(AND(Assumptions!B54&lt;&gt;"",IFERROR(DATEVALUE(TEXT(Assumptions!B54,"MM/DD/YYYY")),0)&gt;=DATE(2027,2,1),IFERROR(DATEVALUE(TEXT(Assumptions!B54,"MM/DD/YYYY")),0)&lt;=DATE(2027,2,28)),1,0)+IF(AND(Assumptions!B55&lt;&gt;"",IFERROR(DATEVALUE(TEXT(Assumptions!B55,"MM/DD/YYYY")),0)&gt;=DATE(2027,2,1),IFERROR(DATEVALUE(TEXT(Assumptions!B55,"MM/DD/YYYY")),0)&lt;=DATE(2027,2,28)),1,0)+IF(AND(Assumptions!B56&lt;&gt;"",IFERROR(DATEVALUE(TEXT(Assumptions!B56,"MM/DD/YYYY")),0)&gt;=DATE(2027,2,1),IFERROR(DATEVALUE(TEXT(Assumptions!B56,"MM/DD/YYYY")),0)&lt;=DATE(2027,2,28)),1,0)+IF(AND(Assumptions!B57&lt;&gt;"",IFERROR(DATEVALUE(TEXT(Assumptions!B57,"MM/DD/YYYY")),0)&gt;=DATE(2027,2,1),IFERROR(DATEVALUE(TEXT(Assumptions!B57,"MM/DD/YYYY")),0)&lt;=DATE(2027,2,28)),1,0)+IF(AND(Assumptions!B58&lt;&gt;"",IFERROR(DATEVALUE(TEXT(Assumptions!B58,"MM/DD/YYYY")),0)&gt;=DATE(2027,2,1),IFERROR(DATEVALUE(TEXT(Assumptions!B58,"MM/DD/YYYY")),0)&lt;=DATE(2027,2,28)),1,0)+IF(AND(Assumptions!B59&lt;&gt;"",IFERROR(DATEVALUE(TEXT(Assumptions!B59,"MM/DD/YYYY")),0)&gt;=DATE(2027,2,1),IFERROR(DATEVALUE(TEXT(Assumptions!B59,"MM/DD/YYYY")),0)&lt;=DATE(2027,2,28)),1,0)+IF(AND(Assumptions!B60&lt;&gt;"",IFERROR(DATEVALUE(TEXT(Assumptions!B60,"MM/DD/YYYY")),0)&gt;=DATE(2027,2,1),IFERROR(DATEVALUE(TEXT(Assumptions!B60,"MM/DD/YYYY")),0)&lt;=DATE(2027,2,28)),1,0))&gt;0,0,'Working Capital'!G15-'Working Capital'!F15)</f>
        <v/>
      </c>
      <c r="H13" s="156">
        <f>IF((IF(AND(Assumptions!B51&lt;&gt;"",IFERROR(DATEVALUE(TEXT(Assumptions!B51,"MM/DD/YYYY")),0)&gt;=DATE(2027,3,1),IFERROR(DATEVALUE(TEXT(Assumptions!B51,"MM/DD/YYYY")),0)&lt;=DATE(2027,3,31)),1,0)+IF(AND(Assumptions!B52&lt;&gt;"",IFERROR(DATEVALUE(TEXT(Assumptions!B52,"MM/DD/YYYY")),0)&gt;=DATE(2027,3,1),IFERROR(DATEVALUE(TEXT(Assumptions!B52,"MM/DD/YYYY")),0)&lt;=DATE(2027,3,31)),1,0)+IF(AND(Assumptions!B53&lt;&gt;"",IFERROR(DATEVALUE(TEXT(Assumptions!B53,"MM/DD/YYYY")),0)&gt;=DATE(2027,3,1),IFERROR(DATEVALUE(TEXT(Assumptions!B53,"MM/DD/YYYY")),0)&lt;=DATE(2027,3,31)),1,0)+IF(AND(Assumptions!B54&lt;&gt;"",IFERROR(DATEVALUE(TEXT(Assumptions!B54,"MM/DD/YYYY")),0)&gt;=DATE(2027,3,1),IFERROR(DATEVALUE(TEXT(Assumptions!B54,"MM/DD/YYYY")),0)&lt;=DATE(2027,3,31)),1,0)+IF(AND(Assumptions!B55&lt;&gt;"",IFERROR(DATEVALUE(TEXT(Assumptions!B55,"MM/DD/YYYY")),0)&gt;=DATE(2027,3,1),IFERROR(DATEVALUE(TEXT(Assumptions!B55,"MM/DD/YYYY")),0)&lt;=DATE(2027,3,31)),1,0)+IF(AND(Assumptions!B56&lt;&gt;"",IFERROR(DATEVALUE(TEXT(Assumptions!B56,"MM/DD/YYYY")),0)&gt;=DATE(2027,3,1),IFERROR(DATEVALUE(TEXT(Assumptions!B56,"MM/DD/YYYY")),0)&lt;=DATE(2027,3,31)),1,0)+IF(AND(Assumptions!B57&lt;&gt;"",IFERROR(DATEVALUE(TEXT(Assumptions!B57,"MM/DD/YYYY")),0)&gt;=DATE(2027,3,1),IFERROR(DATEVALUE(TEXT(Assumptions!B57,"MM/DD/YYYY")),0)&lt;=DATE(2027,3,31)),1,0)+IF(AND(Assumptions!B58&lt;&gt;"",IFERROR(DATEVALUE(TEXT(Assumptions!B58,"MM/DD/YYYY")),0)&gt;=DATE(2027,3,1),IFERROR(DATEVALUE(TEXT(Assumptions!B58,"MM/DD/YYYY")),0)&lt;=DATE(2027,3,31)),1,0)+IF(AND(Assumptions!B59&lt;&gt;"",IFERROR(DATEVALUE(TEXT(Assumptions!B59,"MM/DD/YYYY")),0)&gt;=DATE(2027,3,1),IFERROR(DATEVALUE(TEXT(Assumptions!B59,"MM/DD/YYYY")),0)&lt;=DATE(2027,3,31)),1,0)+IF(AND(Assumptions!B60&lt;&gt;"",IFERROR(DATEVALUE(TEXT(Assumptions!B60,"MM/DD/YYYY")),0)&gt;=DATE(2027,3,1),IFERROR(DATEVALUE(TEXT(Assumptions!B60,"MM/DD/YYYY")),0)&lt;=DATE(2027,3,31)),1,0))&gt;0,0,'Working Capital'!H15-'Working Capital'!G15)</f>
        <v/>
      </c>
      <c r="I13" s="156">
        <f>IF((IF(AND(Assumptions!B51&lt;&gt;"",IFERROR(DATEVALUE(TEXT(Assumptions!B51,"MM/DD/YYYY")),0)&gt;=DATE(2027,4,1),IFERROR(DATEVALUE(TEXT(Assumptions!B51,"MM/DD/YYYY")),0)&lt;=DATE(2027,4,30)),1,0)+IF(AND(Assumptions!B52&lt;&gt;"",IFERROR(DATEVALUE(TEXT(Assumptions!B52,"MM/DD/YYYY")),0)&gt;=DATE(2027,4,1),IFERROR(DATEVALUE(TEXT(Assumptions!B52,"MM/DD/YYYY")),0)&lt;=DATE(2027,4,30)),1,0)+IF(AND(Assumptions!B53&lt;&gt;"",IFERROR(DATEVALUE(TEXT(Assumptions!B53,"MM/DD/YYYY")),0)&gt;=DATE(2027,4,1),IFERROR(DATEVALUE(TEXT(Assumptions!B53,"MM/DD/YYYY")),0)&lt;=DATE(2027,4,30)),1,0)+IF(AND(Assumptions!B54&lt;&gt;"",IFERROR(DATEVALUE(TEXT(Assumptions!B54,"MM/DD/YYYY")),0)&gt;=DATE(2027,4,1),IFERROR(DATEVALUE(TEXT(Assumptions!B54,"MM/DD/YYYY")),0)&lt;=DATE(2027,4,30)),1,0)+IF(AND(Assumptions!B55&lt;&gt;"",IFERROR(DATEVALUE(TEXT(Assumptions!B55,"MM/DD/YYYY")),0)&gt;=DATE(2027,4,1),IFERROR(DATEVALUE(TEXT(Assumptions!B55,"MM/DD/YYYY")),0)&lt;=DATE(2027,4,30)),1,0)+IF(AND(Assumptions!B56&lt;&gt;"",IFERROR(DATEVALUE(TEXT(Assumptions!B56,"MM/DD/YYYY")),0)&gt;=DATE(2027,4,1),IFERROR(DATEVALUE(TEXT(Assumptions!B56,"MM/DD/YYYY")),0)&lt;=DATE(2027,4,30)),1,0)+IF(AND(Assumptions!B57&lt;&gt;"",IFERROR(DATEVALUE(TEXT(Assumptions!B57,"MM/DD/YYYY")),0)&gt;=DATE(2027,4,1),IFERROR(DATEVALUE(TEXT(Assumptions!B57,"MM/DD/YYYY")),0)&lt;=DATE(2027,4,30)),1,0)+IF(AND(Assumptions!B58&lt;&gt;"",IFERROR(DATEVALUE(TEXT(Assumptions!B58,"MM/DD/YYYY")),0)&gt;=DATE(2027,4,1),IFERROR(DATEVALUE(TEXT(Assumptions!B58,"MM/DD/YYYY")),0)&lt;=DATE(2027,4,30)),1,0)+IF(AND(Assumptions!B59&lt;&gt;"",IFERROR(DATEVALUE(TEXT(Assumptions!B59,"MM/DD/YYYY")),0)&gt;=DATE(2027,4,1),IFERROR(DATEVALUE(TEXT(Assumptions!B59,"MM/DD/YYYY")),0)&lt;=DATE(2027,4,30)),1,0)+IF(AND(Assumptions!B60&lt;&gt;"",IFERROR(DATEVALUE(TEXT(Assumptions!B60,"MM/DD/YYYY")),0)&gt;=DATE(2027,4,1),IFERROR(DATEVALUE(TEXT(Assumptions!B60,"MM/DD/YYYY")),0)&lt;=DATE(2027,4,30)),1,0))&gt;0,0,'Working Capital'!I15-'Working Capital'!H15)</f>
        <v/>
      </c>
      <c r="J13" s="156">
        <f>IF((IF(AND(Assumptions!B51&lt;&gt;"",IFERROR(DATEVALUE(TEXT(Assumptions!B51,"MM/DD/YYYY")),0)&gt;=DATE(2027,5,1),IFERROR(DATEVALUE(TEXT(Assumptions!B51,"MM/DD/YYYY")),0)&lt;=DATE(2027,5,31)),1,0)+IF(AND(Assumptions!B52&lt;&gt;"",IFERROR(DATEVALUE(TEXT(Assumptions!B52,"MM/DD/YYYY")),0)&gt;=DATE(2027,5,1),IFERROR(DATEVALUE(TEXT(Assumptions!B52,"MM/DD/YYYY")),0)&lt;=DATE(2027,5,31)),1,0)+IF(AND(Assumptions!B53&lt;&gt;"",IFERROR(DATEVALUE(TEXT(Assumptions!B53,"MM/DD/YYYY")),0)&gt;=DATE(2027,5,1),IFERROR(DATEVALUE(TEXT(Assumptions!B53,"MM/DD/YYYY")),0)&lt;=DATE(2027,5,31)),1,0)+IF(AND(Assumptions!B54&lt;&gt;"",IFERROR(DATEVALUE(TEXT(Assumptions!B54,"MM/DD/YYYY")),0)&gt;=DATE(2027,5,1),IFERROR(DATEVALUE(TEXT(Assumptions!B54,"MM/DD/YYYY")),0)&lt;=DATE(2027,5,31)),1,0)+IF(AND(Assumptions!B55&lt;&gt;"",IFERROR(DATEVALUE(TEXT(Assumptions!B55,"MM/DD/YYYY")),0)&gt;=DATE(2027,5,1),IFERROR(DATEVALUE(TEXT(Assumptions!B55,"MM/DD/YYYY")),0)&lt;=DATE(2027,5,31)),1,0)+IF(AND(Assumptions!B56&lt;&gt;"",IFERROR(DATEVALUE(TEXT(Assumptions!B56,"MM/DD/YYYY")),0)&gt;=DATE(2027,5,1),IFERROR(DATEVALUE(TEXT(Assumptions!B56,"MM/DD/YYYY")),0)&lt;=DATE(2027,5,31)),1,0)+IF(AND(Assumptions!B57&lt;&gt;"",IFERROR(DATEVALUE(TEXT(Assumptions!B57,"MM/DD/YYYY")),0)&gt;=DATE(2027,5,1),IFERROR(DATEVALUE(TEXT(Assumptions!B57,"MM/DD/YYYY")),0)&lt;=DATE(2027,5,31)),1,0)+IF(AND(Assumptions!B58&lt;&gt;"",IFERROR(DATEVALUE(TEXT(Assumptions!B58,"MM/DD/YYYY")),0)&gt;=DATE(2027,5,1),IFERROR(DATEVALUE(TEXT(Assumptions!B58,"MM/DD/YYYY")),0)&lt;=DATE(2027,5,31)),1,0)+IF(AND(Assumptions!B59&lt;&gt;"",IFERROR(DATEVALUE(TEXT(Assumptions!B59,"MM/DD/YYYY")),0)&gt;=DATE(2027,5,1),IFERROR(DATEVALUE(TEXT(Assumptions!B59,"MM/DD/YYYY")),0)&lt;=DATE(2027,5,31)),1,0)+IF(AND(Assumptions!B60&lt;&gt;"",IFERROR(DATEVALUE(TEXT(Assumptions!B60,"MM/DD/YYYY")),0)&gt;=DATE(2027,5,1),IFERROR(DATEVALUE(TEXT(Assumptions!B60,"MM/DD/YYYY")),0)&lt;=DATE(2027,5,31)),1,0))&gt;0,0,'Working Capital'!J15-'Working Capital'!I15)</f>
        <v/>
      </c>
      <c r="K13" s="156">
        <f>IF((IF(AND(Assumptions!B51&lt;&gt;"",IFERROR(DATEVALUE(TEXT(Assumptions!B51,"MM/DD/YYYY")),0)&gt;=DATE(2027,6,1),IFERROR(DATEVALUE(TEXT(Assumptions!B51,"MM/DD/YYYY")),0)&lt;=DATE(2027,6,30)),1,0)+IF(AND(Assumptions!B52&lt;&gt;"",IFERROR(DATEVALUE(TEXT(Assumptions!B52,"MM/DD/YYYY")),0)&gt;=DATE(2027,6,1),IFERROR(DATEVALUE(TEXT(Assumptions!B52,"MM/DD/YYYY")),0)&lt;=DATE(2027,6,30)),1,0)+IF(AND(Assumptions!B53&lt;&gt;"",IFERROR(DATEVALUE(TEXT(Assumptions!B53,"MM/DD/YYYY")),0)&gt;=DATE(2027,6,1),IFERROR(DATEVALUE(TEXT(Assumptions!B53,"MM/DD/YYYY")),0)&lt;=DATE(2027,6,30)),1,0)+IF(AND(Assumptions!B54&lt;&gt;"",IFERROR(DATEVALUE(TEXT(Assumptions!B54,"MM/DD/YYYY")),0)&gt;=DATE(2027,6,1),IFERROR(DATEVALUE(TEXT(Assumptions!B54,"MM/DD/YYYY")),0)&lt;=DATE(2027,6,30)),1,0)+IF(AND(Assumptions!B55&lt;&gt;"",IFERROR(DATEVALUE(TEXT(Assumptions!B55,"MM/DD/YYYY")),0)&gt;=DATE(2027,6,1),IFERROR(DATEVALUE(TEXT(Assumptions!B55,"MM/DD/YYYY")),0)&lt;=DATE(2027,6,30)),1,0)+IF(AND(Assumptions!B56&lt;&gt;"",IFERROR(DATEVALUE(TEXT(Assumptions!B56,"MM/DD/YYYY")),0)&gt;=DATE(2027,6,1),IFERROR(DATEVALUE(TEXT(Assumptions!B56,"MM/DD/YYYY")),0)&lt;=DATE(2027,6,30)),1,0)+IF(AND(Assumptions!B57&lt;&gt;"",IFERROR(DATEVALUE(TEXT(Assumptions!B57,"MM/DD/YYYY")),0)&gt;=DATE(2027,6,1),IFERROR(DATEVALUE(TEXT(Assumptions!B57,"MM/DD/YYYY")),0)&lt;=DATE(2027,6,30)),1,0)+IF(AND(Assumptions!B58&lt;&gt;"",IFERROR(DATEVALUE(TEXT(Assumptions!B58,"MM/DD/YYYY")),0)&gt;=DATE(2027,6,1),IFERROR(DATEVALUE(TEXT(Assumptions!B58,"MM/DD/YYYY")),0)&lt;=DATE(2027,6,30)),1,0)+IF(AND(Assumptions!B59&lt;&gt;"",IFERROR(DATEVALUE(TEXT(Assumptions!B59,"MM/DD/YYYY")),0)&gt;=DATE(2027,6,1),IFERROR(DATEVALUE(TEXT(Assumptions!B59,"MM/DD/YYYY")),0)&lt;=DATE(2027,6,30)),1,0)+IF(AND(Assumptions!B60&lt;&gt;"",IFERROR(DATEVALUE(TEXT(Assumptions!B60,"MM/DD/YYYY")),0)&gt;=DATE(2027,6,1),IFERROR(DATEVALUE(TEXT(Assumptions!B60,"MM/DD/YYYY")),0)&lt;=DATE(2027,6,30)),1,0))&gt;0,0,'Working Capital'!K15-'Working Capital'!J15)</f>
        <v/>
      </c>
      <c r="L13" s="156">
        <f>IF((IF(AND(Assumptions!B51&lt;&gt;"",IFERROR(DATEVALUE(TEXT(Assumptions!B51,"MM/DD/YYYY")),0)&gt;=DATE(2027,7,1),IFERROR(DATEVALUE(TEXT(Assumptions!B51,"MM/DD/YYYY")),0)&lt;=DATE(2027,7,31)),1,0)+IF(AND(Assumptions!B52&lt;&gt;"",IFERROR(DATEVALUE(TEXT(Assumptions!B52,"MM/DD/YYYY")),0)&gt;=DATE(2027,7,1),IFERROR(DATEVALUE(TEXT(Assumptions!B52,"MM/DD/YYYY")),0)&lt;=DATE(2027,7,31)),1,0)+IF(AND(Assumptions!B53&lt;&gt;"",IFERROR(DATEVALUE(TEXT(Assumptions!B53,"MM/DD/YYYY")),0)&gt;=DATE(2027,7,1),IFERROR(DATEVALUE(TEXT(Assumptions!B53,"MM/DD/YYYY")),0)&lt;=DATE(2027,7,31)),1,0)+IF(AND(Assumptions!B54&lt;&gt;"",IFERROR(DATEVALUE(TEXT(Assumptions!B54,"MM/DD/YYYY")),0)&gt;=DATE(2027,7,1),IFERROR(DATEVALUE(TEXT(Assumptions!B54,"MM/DD/YYYY")),0)&lt;=DATE(2027,7,31)),1,0)+IF(AND(Assumptions!B55&lt;&gt;"",IFERROR(DATEVALUE(TEXT(Assumptions!B55,"MM/DD/YYYY")),0)&gt;=DATE(2027,7,1),IFERROR(DATEVALUE(TEXT(Assumptions!B55,"MM/DD/YYYY")),0)&lt;=DATE(2027,7,31)),1,0)+IF(AND(Assumptions!B56&lt;&gt;"",IFERROR(DATEVALUE(TEXT(Assumptions!B56,"MM/DD/YYYY")),0)&gt;=DATE(2027,7,1),IFERROR(DATEVALUE(TEXT(Assumptions!B56,"MM/DD/YYYY")),0)&lt;=DATE(2027,7,31)),1,0)+IF(AND(Assumptions!B57&lt;&gt;"",IFERROR(DATEVALUE(TEXT(Assumptions!B57,"MM/DD/YYYY")),0)&gt;=DATE(2027,7,1),IFERROR(DATEVALUE(TEXT(Assumptions!B57,"MM/DD/YYYY")),0)&lt;=DATE(2027,7,31)),1,0)+IF(AND(Assumptions!B58&lt;&gt;"",IFERROR(DATEVALUE(TEXT(Assumptions!B58,"MM/DD/YYYY")),0)&gt;=DATE(2027,7,1),IFERROR(DATEVALUE(TEXT(Assumptions!B58,"MM/DD/YYYY")),0)&lt;=DATE(2027,7,31)),1,0)+IF(AND(Assumptions!B59&lt;&gt;"",IFERROR(DATEVALUE(TEXT(Assumptions!B59,"MM/DD/YYYY")),0)&gt;=DATE(2027,7,1),IFERROR(DATEVALUE(TEXT(Assumptions!B59,"MM/DD/YYYY")),0)&lt;=DATE(2027,7,31)),1,0)+IF(AND(Assumptions!B60&lt;&gt;"",IFERROR(DATEVALUE(TEXT(Assumptions!B60,"MM/DD/YYYY")),0)&gt;=DATE(2027,7,1),IFERROR(DATEVALUE(TEXT(Assumptions!B60,"MM/DD/YYYY")),0)&lt;=DATE(2027,7,31)),1,0))&gt;0,0,'Working Capital'!L15-'Working Capital'!K15)</f>
        <v/>
      </c>
      <c r="M13" s="156">
        <f>IF((IF(AND(Assumptions!B51&lt;&gt;"",IFERROR(DATEVALUE(TEXT(Assumptions!B51,"MM/DD/YYYY")),0)&gt;=DATE(2027,8,1),IFERROR(DATEVALUE(TEXT(Assumptions!B51,"MM/DD/YYYY")),0)&lt;=DATE(2027,8,31)),1,0)+IF(AND(Assumptions!B52&lt;&gt;"",IFERROR(DATEVALUE(TEXT(Assumptions!B52,"MM/DD/YYYY")),0)&gt;=DATE(2027,8,1),IFERROR(DATEVALUE(TEXT(Assumptions!B52,"MM/DD/YYYY")),0)&lt;=DATE(2027,8,31)),1,0)+IF(AND(Assumptions!B53&lt;&gt;"",IFERROR(DATEVALUE(TEXT(Assumptions!B53,"MM/DD/YYYY")),0)&gt;=DATE(2027,8,1),IFERROR(DATEVALUE(TEXT(Assumptions!B53,"MM/DD/YYYY")),0)&lt;=DATE(2027,8,31)),1,0)+IF(AND(Assumptions!B54&lt;&gt;"",IFERROR(DATEVALUE(TEXT(Assumptions!B54,"MM/DD/YYYY")),0)&gt;=DATE(2027,8,1),IFERROR(DATEVALUE(TEXT(Assumptions!B54,"MM/DD/YYYY")),0)&lt;=DATE(2027,8,31)),1,0)+IF(AND(Assumptions!B55&lt;&gt;"",IFERROR(DATEVALUE(TEXT(Assumptions!B55,"MM/DD/YYYY")),0)&gt;=DATE(2027,8,1),IFERROR(DATEVALUE(TEXT(Assumptions!B55,"MM/DD/YYYY")),0)&lt;=DATE(2027,8,31)),1,0)+IF(AND(Assumptions!B56&lt;&gt;"",IFERROR(DATEVALUE(TEXT(Assumptions!B56,"MM/DD/YYYY")),0)&gt;=DATE(2027,8,1),IFERROR(DATEVALUE(TEXT(Assumptions!B56,"MM/DD/YYYY")),0)&lt;=DATE(2027,8,31)),1,0)+IF(AND(Assumptions!B57&lt;&gt;"",IFERROR(DATEVALUE(TEXT(Assumptions!B57,"MM/DD/YYYY")),0)&gt;=DATE(2027,8,1),IFERROR(DATEVALUE(TEXT(Assumptions!B57,"MM/DD/YYYY")),0)&lt;=DATE(2027,8,31)),1,0)+IF(AND(Assumptions!B58&lt;&gt;"",IFERROR(DATEVALUE(TEXT(Assumptions!B58,"MM/DD/YYYY")),0)&gt;=DATE(2027,8,1),IFERROR(DATEVALUE(TEXT(Assumptions!B58,"MM/DD/YYYY")),0)&lt;=DATE(2027,8,31)),1,0)+IF(AND(Assumptions!B59&lt;&gt;"",IFERROR(DATEVALUE(TEXT(Assumptions!B59,"MM/DD/YYYY")),0)&gt;=DATE(2027,8,1),IFERROR(DATEVALUE(TEXT(Assumptions!B59,"MM/DD/YYYY")),0)&lt;=DATE(2027,8,31)),1,0)+IF(AND(Assumptions!B60&lt;&gt;"",IFERROR(DATEVALUE(TEXT(Assumptions!B60,"MM/DD/YYYY")),0)&gt;=DATE(2027,8,1),IFERROR(DATEVALUE(TEXT(Assumptions!B60,"MM/DD/YYYY")),0)&lt;=DATE(2027,8,31)),1,0))&gt;0,0,'Working Capital'!M15-'Working Capital'!L15)</f>
        <v/>
      </c>
      <c r="N13" s="156">
        <f>IF((IF(AND(Assumptions!B51&lt;&gt;"",IFERROR(DATEVALUE(TEXT(Assumptions!B51,"MM/DD/YYYY")),0)&gt;=DATE(2027,9,1),IFERROR(DATEVALUE(TEXT(Assumptions!B51,"MM/DD/YYYY")),0)&lt;=DATE(2027,9,30)),1,0)+IF(AND(Assumptions!B52&lt;&gt;"",IFERROR(DATEVALUE(TEXT(Assumptions!B52,"MM/DD/YYYY")),0)&gt;=DATE(2027,9,1),IFERROR(DATEVALUE(TEXT(Assumptions!B52,"MM/DD/YYYY")),0)&lt;=DATE(2027,9,30)),1,0)+IF(AND(Assumptions!B53&lt;&gt;"",IFERROR(DATEVALUE(TEXT(Assumptions!B53,"MM/DD/YYYY")),0)&gt;=DATE(2027,9,1),IFERROR(DATEVALUE(TEXT(Assumptions!B53,"MM/DD/YYYY")),0)&lt;=DATE(2027,9,30)),1,0)+IF(AND(Assumptions!B54&lt;&gt;"",IFERROR(DATEVALUE(TEXT(Assumptions!B54,"MM/DD/YYYY")),0)&gt;=DATE(2027,9,1),IFERROR(DATEVALUE(TEXT(Assumptions!B54,"MM/DD/YYYY")),0)&lt;=DATE(2027,9,30)),1,0)+IF(AND(Assumptions!B55&lt;&gt;"",IFERROR(DATEVALUE(TEXT(Assumptions!B55,"MM/DD/YYYY")),0)&gt;=DATE(2027,9,1),IFERROR(DATEVALUE(TEXT(Assumptions!B55,"MM/DD/YYYY")),0)&lt;=DATE(2027,9,30)),1,0)+IF(AND(Assumptions!B56&lt;&gt;"",IFERROR(DATEVALUE(TEXT(Assumptions!B56,"MM/DD/YYYY")),0)&gt;=DATE(2027,9,1),IFERROR(DATEVALUE(TEXT(Assumptions!B56,"MM/DD/YYYY")),0)&lt;=DATE(2027,9,30)),1,0)+IF(AND(Assumptions!B57&lt;&gt;"",IFERROR(DATEVALUE(TEXT(Assumptions!B57,"MM/DD/YYYY")),0)&gt;=DATE(2027,9,1),IFERROR(DATEVALUE(TEXT(Assumptions!B57,"MM/DD/YYYY")),0)&lt;=DATE(2027,9,30)),1,0)+IF(AND(Assumptions!B58&lt;&gt;"",IFERROR(DATEVALUE(TEXT(Assumptions!B58,"MM/DD/YYYY")),0)&gt;=DATE(2027,9,1),IFERROR(DATEVALUE(TEXT(Assumptions!B58,"MM/DD/YYYY")),0)&lt;=DATE(2027,9,30)),1,0)+IF(AND(Assumptions!B59&lt;&gt;"",IFERROR(DATEVALUE(TEXT(Assumptions!B59,"MM/DD/YYYY")),0)&gt;=DATE(2027,9,1),IFERROR(DATEVALUE(TEXT(Assumptions!B59,"MM/DD/YYYY")),0)&lt;=DATE(2027,9,30)),1,0)+IF(AND(Assumptions!B60&lt;&gt;"",IFERROR(DATEVALUE(TEXT(Assumptions!B60,"MM/DD/YYYY")),0)&gt;=DATE(2027,9,1),IFERROR(DATEVALUE(TEXT(Assumptions!B60,"MM/DD/YYYY")),0)&lt;=DATE(2027,9,30)),1,0))&gt;0,0,'Working Capital'!N15-'Working Capital'!M15)</f>
        <v/>
      </c>
      <c r="O13" s="156">
        <f>IF((IF(AND(Assumptions!B51&lt;&gt;"",IFERROR(DATEVALUE(TEXT(Assumptions!B51,"MM/DD/YYYY")),0)&gt;=DATE(2027,10,1),IFERROR(DATEVALUE(TEXT(Assumptions!B51,"MM/DD/YYYY")),0)&lt;=DATE(2027,10,31)),1,0)+IF(AND(Assumptions!B52&lt;&gt;"",IFERROR(DATEVALUE(TEXT(Assumptions!B52,"MM/DD/YYYY")),0)&gt;=DATE(2027,10,1),IFERROR(DATEVALUE(TEXT(Assumptions!B52,"MM/DD/YYYY")),0)&lt;=DATE(2027,10,31)),1,0)+IF(AND(Assumptions!B53&lt;&gt;"",IFERROR(DATEVALUE(TEXT(Assumptions!B53,"MM/DD/YYYY")),0)&gt;=DATE(2027,10,1),IFERROR(DATEVALUE(TEXT(Assumptions!B53,"MM/DD/YYYY")),0)&lt;=DATE(2027,10,31)),1,0)+IF(AND(Assumptions!B54&lt;&gt;"",IFERROR(DATEVALUE(TEXT(Assumptions!B54,"MM/DD/YYYY")),0)&gt;=DATE(2027,10,1),IFERROR(DATEVALUE(TEXT(Assumptions!B54,"MM/DD/YYYY")),0)&lt;=DATE(2027,10,31)),1,0)+IF(AND(Assumptions!B55&lt;&gt;"",IFERROR(DATEVALUE(TEXT(Assumptions!B55,"MM/DD/YYYY")),0)&gt;=DATE(2027,10,1),IFERROR(DATEVALUE(TEXT(Assumptions!B55,"MM/DD/YYYY")),0)&lt;=DATE(2027,10,31)),1,0)+IF(AND(Assumptions!B56&lt;&gt;"",IFERROR(DATEVALUE(TEXT(Assumptions!B56,"MM/DD/YYYY")),0)&gt;=DATE(2027,10,1),IFERROR(DATEVALUE(TEXT(Assumptions!B56,"MM/DD/YYYY")),0)&lt;=DATE(2027,10,31)),1,0)+IF(AND(Assumptions!B57&lt;&gt;"",IFERROR(DATEVALUE(TEXT(Assumptions!B57,"MM/DD/YYYY")),0)&gt;=DATE(2027,10,1),IFERROR(DATEVALUE(TEXT(Assumptions!B57,"MM/DD/YYYY")),0)&lt;=DATE(2027,10,31)),1,0)+IF(AND(Assumptions!B58&lt;&gt;"",IFERROR(DATEVALUE(TEXT(Assumptions!B58,"MM/DD/YYYY")),0)&gt;=DATE(2027,10,1),IFERROR(DATEVALUE(TEXT(Assumptions!B58,"MM/DD/YYYY")),0)&lt;=DATE(2027,10,31)),1,0)+IF(AND(Assumptions!B59&lt;&gt;"",IFERROR(DATEVALUE(TEXT(Assumptions!B59,"MM/DD/YYYY")),0)&gt;=DATE(2027,10,1),IFERROR(DATEVALUE(TEXT(Assumptions!B59,"MM/DD/YYYY")),0)&lt;=DATE(2027,10,31)),1,0)+IF(AND(Assumptions!B60&lt;&gt;"",IFERROR(DATEVALUE(TEXT(Assumptions!B60,"MM/DD/YYYY")),0)&gt;=DATE(2027,10,1),IFERROR(DATEVALUE(TEXT(Assumptions!B60,"MM/DD/YYYY")),0)&lt;=DATE(2027,10,31)),1,0))&gt;0,0,'Working Capital'!O15-'Working Capital'!N15)</f>
        <v/>
      </c>
      <c r="P13" s="156">
        <f>IF((IF(AND(Assumptions!B51&lt;&gt;"",IFERROR(DATEVALUE(TEXT(Assumptions!B51,"MM/DD/YYYY")),0)&gt;=DATE(2027,11,1),IFERROR(DATEVALUE(TEXT(Assumptions!B51,"MM/DD/YYYY")),0)&lt;=DATE(2027,11,30)),1,0)+IF(AND(Assumptions!B52&lt;&gt;"",IFERROR(DATEVALUE(TEXT(Assumptions!B52,"MM/DD/YYYY")),0)&gt;=DATE(2027,11,1),IFERROR(DATEVALUE(TEXT(Assumptions!B52,"MM/DD/YYYY")),0)&lt;=DATE(2027,11,30)),1,0)+IF(AND(Assumptions!B53&lt;&gt;"",IFERROR(DATEVALUE(TEXT(Assumptions!B53,"MM/DD/YYYY")),0)&gt;=DATE(2027,11,1),IFERROR(DATEVALUE(TEXT(Assumptions!B53,"MM/DD/YYYY")),0)&lt;=DATE(2027,11,30)),1,0)+IF(AND(Assumptions!B54&lt;&gt;"",IFERROR(DATEVALUE(TEXT(Assumptions!B54,"MM/DD/YYYY")),0)&gt;=DATE(2027,11,1),IFERROR(DATEVALUE(TEXT(Assumptions!B54,"MM/DD/YYYY")),0)&lt;=DATE(2027,11,30)),1,0)+IF(AND(Assumptions!B55&lt;&gt;"",IFERROR(DATEVALUE(TEXT(Assumptions!B55,"MM/DD/YYYY")),0)&gt;=DATE(2027,11,1),IFERROR(DATEVALUE(TEXT(Assumptions!B55,"MM/DD/YYYY")),0)&lt;=DATE(2027,11,30)),1,0)+IF(AND(Assumptions!B56&lt;&gt;"",IFERROR(DATEVALUE(TEXT(Assumptions!B56,"MM/DD/YYYY")),0)&gt;=DATE(2027,11,1),IFERROR(DATEVALUE(TEXT(Assumptions!B56,"MM/DD/YYYY")),0)&lt;=DATE(2027,11,30)),1,0)+IF(AND(Assumptions!B57&lt;&gt;"",IFERROR(DATEVALUE(TEXT(Assumptions!B57,"MM/DD/YYYY")),0)&gt;=DATE(2027,11,1),IFERROR(DATEVALUE(TEXT(Assumptions!B57,"MM/DD/YYYY")),0)&lt;=DATE(2027,11,30)),1,0)+IF(AND(Assumptions!B58&lt;&gt;"",IFERROR(DATEVALUE(TEXT(Assumptions!B58,"MM/DD/YYYY")),0)&gt;=DATE(2027,11,1),IFERROR(DATEVALUE(TEXT(Assumptions!B58,"MM/DD/YYYY")),0)&lt;=DATE(2027,11,30)),1,0)+IF(AND(Assumptions!B59&lt;&gt;"",IFERROR(DATEVALUE(TEXT(Assumptions!B59,"MM/DD/YYYY")),0)&gt;=DATE(2027,11,1),IFERROR(DATEVALUE(TEXT(Assumptions!B59,"MM/DD/YYYY")),0)&lt;=DATE(2027,11,30)),1,0)+IF(AND(Assumptions!B60&lt;&gt;"",IFERROR(DATEVALUE(TEXT(Assumptions!B60,"MM/DD/YYYY")),0)&gt;=DATE(2027,11,1),IFERROR(DATEVALUE(TEXT(Assumptions!B60,"MM/DD/YYYY")),0)&lt;=DATE(2027,11,30)),1,0))&gt;0,0,'Working Capital'!P15-'Working Capital'!O15)</f>
        <v/>
      </c>
      <c r="Q13" s="156">
        <f>IF((IF(AND(Assumptions!B51&lt;&gt;"",IFERROR(DATEVALUE(TEXT(Assumptions!B51,"MM/DD/YYYY")),0)&gt;=DATE(2027,12,1),IFERROR(DATEVALUE(TEXT(Assumptions!B51,"MM/DD/YYYY")),0)&lt;=DATE(2027,12,31)),1,0)+IF(AND(Assumptions!B52&lt;&gt;"",IFERROR(DATEVALUE(TEXT(Assumptions!B52,"MM/DD/YYYY")),0)&gt;=DATE(2027,12,1),IFERROR(DATEVALUE(TEXT(Assumptions!B52,"MM/DD/YYYY")),0)&lt;=DATE(2027,12,31)),1,0)+IF(AND(Assumptions!B53&lt;&gt;"",IFERROR(DATEVALUE(TEXT(Assumptions!B53,"MM/DD/YYYY")),0)&gt;=DATE(2027,12,1),IFERROR(DATEVALUE(TEXT(Assumptions!B53,"MM/DD/YYYY")),0)&lt;=DATE(2027,12,31)),1,0)+IF(AND(Assumptions!B54&lt;&gt;"",IFERROR(DATEVALUE(TEXT(Assumptions!B54,"MM/DD/YYYY")),0)&gt;=DATE(2027,12,1),IFERROR(DATEVALUE(TEXT(Assumptions!B54,"MM/DD/YYYY")),0)&lt;=DATE(2027,12,31)),1,0)+IF(AND(Assumptions!B55&lt;&gt;"",IFERROR(DATEVALUE(TEXT(Assumptions!B55,"MM/DD/YYYY")),0)&gt;=DATE(2027,12,1),IFERROR(DATEVALUE(TEXT(Assumptions!B55,"MM/DD/YYYY")),0)&lt;=DATE(2027,12,31)),1,0)+IF(AND(Assumptions!B56&lt;&gt;"",IFERROR(DATEVALUE(TEXT(Assumptions!B56,"MM/DD/YYYY")),0)&gt;=DATE(2027,12,1),IFERROR(DATEVALUE(TEXT(Assumptions!B56,"MM/DD/YYYY")),0)&lt;=DATE(2027,12,31)),1,0)+IF(AND(Assumptions!B57&lt;&gt;"",IFERROR(DATEVALUE(TEXT(Assumptions!B57,"MM/DD/YYYY")),0)&gt;=DATE(2027,12,1),IFERROR(DATEVALUE(TEXT(Assumptions!B57,"MM/DD/YYYY")),0)&lt;=DATE(2027,12,31)),1,0)+IF(AND(Assumptions!B58&lt;&gt;"",IFERROR(DATEVALUE(TEXT(Assumptions!B58,"MM/DD/YYYY")),0)&gt;=DATE(2027,12,1),IFERROR(DATEVALUE(TEXT(Assumptions!B58,"MM/DD/YYYY")),0)&lt;=DATE(2027,12,31)),1,0)+IF(AND(Assumptions!B59&lt;&gt;"",IFERROR(DATEVALUE(TEXT(Assumptions!B59,"MM/DD/YYYY")),0)&gt;=DATE(2027,12,1),IFERROR(DATEVALUE(TEXT(Assumptions!B59,"MM/DD/YYYY")),0)&lt;=DATE(2027,12,31)),1,0)+IF(AND(Assumptions!B60&lt;&gt;"",IFERROR(DATEVALUE(TEXT(Assumptions!B60,"MM/DD/YYYY")),0)&gt;=DATE(2027,12,1),IFERROR(DATEVALUE(TEXT(Assumptions!B60,"MM/DD/YYYY")),0)&lt;=DATE(2027,12,31)),1,0))&gt;0,0,'Working Capital'!Q15-'Working Capital'!P15)</f>
        <v/>
      </c>
      <c r="R13" s="156">
        <f>IF((IF(AND(Assumptions!B51&lt;&gt;"",IFERROR(DATEVALUE(TEXT(Assumptions!B51,"MM/DD/YYYY")),0)&gt;=DATE(2028,1,1),IFERROR(DATEVALUE(TEXT(Assumptions!B51,"MM/DD/YYYY")),0)&lt;=DATE(2028,1,31)),1,0)+IF(AND(Assumptions!B52&lt;&gt;"",IFERROR(DATEVALUE(TEXT(Assumptions!B52,"MM/DD/YYYY")),0)&gt;=DATE(2028,1,1),IFERROR(DATEVALUE(TEXT(Assumptions!B52,"MM/DD/YYYY")),0)&lt;=DATE(2028,1,31)),1,0)+IF(AND(Assumptions!B53&lt;&gt;"",IFERROR(DATEVALUE(TEXT(Assumptions!B53,"MM/DD/YYYY")),0)&gt;=DATE(2028,1,1),IFERROR(DATEVALUE(TEXT(Assumptions!B53,"MM/DD/YYYY")),0)&lt;=DATE(2028,1,31)),1,0)+IF(AND(Assumptions!B54&lt;&gt;"",IFERROR(DATEVALUE(TEXT(Assumptions!B54,"MM/DD/YYYY")),0)&gt;=DATE(2028,1,1),IFERROR(DATEVALUE(TEXT(Assumptions!B54,"MM/DD/YYYY")),0)&lt;=DATE(2028,1,31)),1,0)+IF(AND(Assumptions!B55&lt;&gt;"",IFERROR(DATEVALUE(TEXT(Assumptions!B55,"MM/DD/YYYY")),0)&gt;=DATE(2028,1,1),IFERROR(DATEVALUE(TEXT(Assumptions!B55,"MM/DD/YYYY")),0)&lt;=DATE(2028,1,31)),1,0)+IF(AND(Assumptions!B56&lt;&gt;"",IFERROR(DATEVALUE(TEXT(Assumptions!B56,"MM/DD/YYYY")),0)&gt;=DATE(2028,1,1),IFERROR(DATEVALUE(TEXT(Assumptions!B56,"MM/DD/YYYY")),0)&lt;=DATE(2028,1,31)),1,0)+IF(AND(Assumptions!B57&lt;&gt;"",IFERROR(DATEVALUE(TEXT(Assumptions!B57,"MM/DD/YYYY")),0)&gt;=DATE(2028,1,1),IFERROR(DATEVALUE(TEXT(Assumptions!B57,"MM/DD/YYYY")),0)&lt;=DATE(2028,1,31)),1,0)+IF(AND(Assumptions!B58&lt;&gt;"",IFERROR(DATEVALUE(TEXT(Assumptions!B58,"MM/DD/YYYY")),0)&gt;=DATE(2028,1,1),IFERROR(DATEVALUE(TEXT(Assumptions!B58,"MM/DD/YYYY")),0)&lt;=DATE(2028,1,31)),1,0)+IF(AND(Assumptions!B59&lt;&gt;"",IFERROR(DATEVALUE(TEXT(Assumptions!B59,"MM/DD/YYYY")),0)&gt;=DATE(2028,1,1),IFERROR(DATEVALUE(TEXT(Assumptions!B59,"MM/DD/YYYY")),0)&lt;=DATE(2028,1,31)),1,0)+IF(AND(Assumptions!B60&lt;&gt;"",IFERROR(DATEVALUE(TEXT(Assumptions!B60,"MM/DD/YYYY")),0)&gt;=DATE(2028,1,1),IFERROR(DATEVALUE(TEXT(Assumptions!B60,"MM/DD/YYYY")),0)&lt;=DATE(2028,1,31)),1,0))&gt;0,0,'Working Capital'!R15-'Working Capital'!Q15)</f>
        <v/>
      </c>
      <c r="S13" s="156">
        <f>IF((IF(AND(Assumptions!B51&lt;&gt;"",IFERROR(DATEVALUE(TEXT(Assumptions!B51,"MM/DD/YYYY")),0)&gt;=DATE(2028,2,1),IFERROR(DATEVALUE(TEXT(Assumptions!B51,"MM/DD/YYYY")),0)&lt;=DATE(2028,2,29)),1,0)+IF(AND(Assumptions!B52&lt;&gt;"",IFERROR(DATEVALUE(TEXT(Assumptions!B52,"MM/DD/YYYY")),0)&gt;=DATE(2028,2,1),IFERROR(DATEVALUE(TEXT(Assumptions!B52,"MM/DD/YYYY")),0)&lt;=DATE(2028,2,29)),1,0)+IF(AND(Assumptions!B53&lt;&gt;"",IFERROR(DATEVALUE(TEXT(Assumptions!B53,"MM/DD/YYYY")),0)&gt;=DATE(2028,2,1),IFERROR(DATEVALUE(TEXT(Assumptions!B53,"MM/DD/YYYY")),0)&lt;=DATE(2028,2,29)),1,0)+IF(AND(Assumptions!B54&lt;&gt;"",IFERROR(DATEVALUE(TEXT(Assumptions!B54,"MM/DD/YYYY")),0)&gt;=DATE(2028,2,1),IFERROR(DATEVALUE(TEXT(Assumptions!B54,"MM/DD/YYYY")),0)&lt;=DATE(2028,2,29)),1,0)+IF(AND(Assumptions!B55&lt;&gt;"",IFERROR(DATEVALUE(TEXT(Assumptions!B55,"MM/DD/YYYY")),0)&gt;=DATE(2028,2,1),IFERROR(DATEVALUE(TEXT(Assumptions!B55,"MM/DD/YYYY")),0)&lt;=DATE(2028,2,29)),1,0)+IF(AND(Assumptions!B56&lt;&gt;"",IFERROR(DATEVALUE(TEXT(Assumptions!B56,"MM/DD/YYYY")),0)&gt;=DATE(2028,2,1),IFERROR(DATEVALUE(TEXT(Assumptions!B56,"MM/DD/YYYY")),0)&lt;=DATE(2028,2,29)),1,0)+IF(AND(Assumptions!B57&lt;&gt;"",IFERROR(DATEVALUE(TEXT(Assumptions!B57,"MM/DD/YYYY")),0)&gt;=DATE(2028,2,1),IFERROR(DATEVALUE(TEXT(Assumptions!B57,"MM/DD/YYYY")),0)&lt;=DATE(2028,2,29)),1,0)+IF(AND(Assumptions!B58&lt;&gt;"",IFERROR(DATEVALUE(TEXT(Assumptions!B58,"MM/DD/YYYY")),0)&gt;=DATE(2028,2,1),IFERROR(DATEVALUE(TEXT(Assumptions!B58,"MM/DD/YYYY")),0)&lt;=DATE(2028,2,29)),1,0)+IF(AND(Assumptions!B59&lt;&gt;"",IFERROR(DATEVALUE(TEXT(Assumptions!B59,"MM/DD/YYYY")),0)&gt;=DATE(2028,2,1),IFERROR(DATEVALUE(TEXT(Assumptions!B59,"MM/DD/YYYY")),0)&lt;=DATE(2028,2,29)),1,0)+IF(AND(Assumptions!B60&lt;&gt;"",IFERROR(DATEVALUE(TEXT(Assumptions!B60,"MM/DD/YYYY")),0)&gt;=DATE(2028,2,1),IFERROR(DATEVALUE(TEXT(Assumptions!B60,"MM/DD/YYYY")),0)&lt;=DATE(2028,2,29)),1,0))&gt;0,0,'Working Capital'!S15-'Working Capital'!R15)</f>
        <v/>
      </c>
      <c r="T13" s="156">
        <f>IF((IF(AND(Assumptions!B51&lt;&gt;"",IFERROR(DATEVALUE(TEXT(Assumptions!B51,"MM/DD/YYYY")),0)&gt;=DATE(2028,3,1),IFERROR(DATEVALUE(TEXT(Assumptions!B51,"MM/DD/YYYY")),0)&lt;=DATE(2028,3,31)),1,0)+IF(AND(Assumptions!B52&lt;&gt;"",IFERROR(DATEVALUE(TEXT(Assumptions!B52,"MM/DD/YYYY")),0)&gt;=DATE(2028,3,1),IFERROR(DATEVALUE(TEXT(Assumptions!B52,"MM/DD/YYYY")),0)&lt;=DATE(2028,3,31)),1,0)+IF(AND(Assumptions!B53&lt;&gt;"",IFERROR(DATEVALUE(TEXT(Assumptions!B53,"MM/DD/YYYY")),0)&gt;=DATE(2028,3,1),IFERROR(DATEVALUE(TEXT(Assumptions!B53,"MM/DD/YYYY")),0)&lt;=DATE(2028,3,31)),1,0)+IF(AND(Assumptions!B54&lt;&gt;"",IFERROR(DATEVALUE(TEXT(Assumptions!B54,"MM/DD/YYYY")),0)&gt;=DATE(2028,3,1),IFERROR(DATEVALUE(TEXT(Assumptions!B54,"MM/DD/YYYY")),0)&lt;=DATE(2028,3,31)),1,0)+IF(AND(Assumptions!B55&lt;&gt;"",IFERROR(DATEVALUE(TEXT(Assumptions!B55,"MM/DD/YYYY")),0)&gt;=DATE(2028,3,1),IFERROR(DATEVALUE(TEXT(Assumptions!B55,"MM/DD/YYYY")),0)&lt;=DATE(2028,3,31)),1,0)+IF(AND(Assumptions!B56&lt;&gt;"",IFERROR(DATEVALUE(TEXT(Assumptions!B56,"MM/DD/YYYY")),0)&gt;=DATE(2028,3,1),IFERROR(DATEVALUE(TEXT(Assumptions!B56,"MM/DD/YYYY")),0)&lt;=DATE(2028,3,31)),1,0)+IF(AND(Assumptions!B57&lt;&gt;"",IFERROR(DATEVALUE(TEXT(Assumptions!B57,"MM/DD/YYYY")),0)&gt;=DATE(2028,3,1),IFERROR(DATEVALUE(TEXT(Assumptions!B57,"MM/DD/YYYY")),0)&lt;=DATE(2028,3,31)),1,0)+IF(AND(Assumptions!B58&lt;&gt;"",IFERROR(DATEVALUE(TEXT(Assumptions!B58,"MM/DD/YYYY")),0)&gt;=DATE(2028,3,1),IFERROR(DATEVALUE(TEXT(Assumptions!B58,"MM/DD/YYYY")),0)&lt;=DATE(2028,3,31)),1,0)+IF(AND(Assumptions!B59&lt;&gt;"",IFERROR(DATEVALUE(TEXT(Assumptions!B59,"MM/DD/YYYY")),0)&gt;=DATE(2028,3,1),IFERROR(DATEVALUE(TEXT(Assumptions!B59,"MM/DD/YYYY")),0)&lt;=DATE(2028,3,31)),1,0)+IF(AND(Assumptions!B60&lt;&gt;"",IFERROR(DATEVALUE(TEXT(Assumptions!B60,"MM/DD/YYYY")),0)&gt;=DATE(2028,3,1),IFERROR(DATEVALUE(TEXT(Assumptions!B60,"MM/DD/YYYY")),0)&lt;=DATE(2028,3,31)),1,0))&gt;0,0,'Working Capital'!T15-'Working Capital'!S15)</f>
        <v/>
      </c>
      <c r="U13" s="156">
        <f>IF((IF(AND(Assumptions!B51&lt;&gt;"",IFERROR(DATEVALUE(TEXT(Assumptions!B51,"MM/DD/YYYY")),0)&gt;=DATE(2028,4,1),IFERROR(DATEVALUE(TEXT(Assumptions!B51,"MM/DD/YYYY")),0)&lt;=DATE(2028,4,30)),1,0)+IF(AND(Assumptions!B52&lt;&gt;"",IFERROR(DATEVALUE(TEXT(Assumptions!B52,"MM/DD/YYYY")),0)&gt;=DATE(2028,4,1),IFERROR(DATEVALUE(TEXT(Assumptions!B52,"MM/DD/YYYY")),0)&lt;=DATE(2028,4,30)),1,0)+IF(AND(Assumptions!B53&lt;&gt;"",IFERROR(DATEVALUE(TEXT(Assumptions!B53,"MM/DD/YYYY")),0)&gt;=DATE(2028,4,1),IFERROR(DATEVALUE(TEXT(Assumptions!B53,"MM/DD/YYYY")),0)&lt;=DATE(2028,4,30)),1,0)+IF(AND(Assumptions!B54&lt;&gt;"",IFERROR(DATEVALUE(TEXT(Assumptions!B54,"MM/DD/YYYY")),0)&gt;=DATE(2028,4,1),IFERROR(DATEVALUE(TEXT(Assumptions!B54,"MM/DD/YYYY")),0)&lt;=DATE(2028,4,30)),1,0)+IF(AND(Assumptions!B55&lt;&gt;"",IFERROR(DATEVALUE(TEXT(Assumptions!B55,"MM/DD/YYYY")),0)&gt;=DATE(2028,4,1),IFERROR(DATEVALUE(TEXT(Assumptions!B55,"MM/DD/YYYY")),0)&lt;=DATE(2028,4,30)),1,0)+IF(AND(Assumptions!B56&lt;&gt;"",IFERROR(DATEVALUE(TEXT(Assumptions!B56,"MM/DD/YYYY")),0)&gt;=DATE(2028,4,1),IFERROR(DATEVALUE(TEXT(Assumptions!B56,"MM/DD/YYYY")),0)&lt;=DATE(2028,4,30)),1,0)+IF(AND(Assumptions!B57&lt;&gt;"",IFERROR(DATEVALUE(TEXT(Assumptions!B57,"MM/DD/YYYY")),0)&gt;=DATE(2028,4,1),IFERROR(DATEVALUE(TEXT(Assumptions!B57,"MM/DD/YYYY")),0)&lt;=DATE(2028,4,30)),1,0)+IF(AND(Assumptions!B58&lt;&gt;"",IFERROR(DATEVALUE(TEXT(Assumptions!B58,"MM/DD/YYYY")),0)&gt;=DATE(2028,4,1),IFERROR(DATEVALUE(TEXT(Assumptions!B58,"MM/DD/YYYY")),0)&lt;=DATE(2028,4,30)),1,0)+IF(AND(Assumptions!B59&lt;&gt;"",IFERROR(DATEVALUE(TEXT(Assumptions!B59,"MM/DD/YYYY")),0)&gt;=DATE(2028,4,1),IFERROR(DATEVALUE(TEXT(Assumptions!B59,"MM/DD/YYYY")),0)&lt;=DATE(2028,4,30)),1,0)+IF(AND(Assumptions!B60&lt;&gt;"",IFERROR(DATEVALUE(TEXT(Assumptions!B60,"MM/DD/YYYY")),0)&gt;=DATE(2028,4,1),IFERROR(DATEVALUE(TEXT(Assumptions!B60,"MM/DD/YYYY")),0)&lt;=DATE(2028,4,30)),1,0))&gt;0,0,'Working Capital'!U15-'Working Capital'!T15)</f>
        <v/>
      </c>
      <c r="V13" s="156">
        <f>IF((IF(AND(Assumptions!B51&lt;&gt;"",IFERROR(DATEVALUE(TEXT(Assumptions!B51,"MM/DD/YYYY")),0)&gt;=DATE(2028,5,1),IFERROR(DATEVALUE(TEXT(Assumptions!B51,"MM/DD/YYYY")),0)&lt;=DATE(2028,5,31)),1,0)+IF(AND(Assumptions!B52&lt;&gt;"",IFERROR(DATEVALUE(TEXT(Assumptions!B52,"MM/DD/YYYY")),0)&gt;=DATE(2028,5,1),IFERROR(DATEVALUE(TEXT(Assumptions!B52,"MM/DD/YYYY")),0)&lt;=DATE(2028,5,31)),1,0)+IF(AND(Assumptions!B53&lt;&gt;"",IFERROR(DATEVALUE(TEXT(Assumptions!B53,"MM/DD/YYYY")),0)&gt;=DATE(2028,5,1),IFERROR(DATEVALUE(TEXT(Assumptions!B53,"MM/DD/YYYY")),0)&lt;=DATE(2028,5,31)),1,0)+IF(AND(Assumptions!B54&lt;&gt;"",IFERROR(DATEVALUE(TEXT(Assumptions!B54,"MM/DD/YYYY")),0)&gt;=DATE(2028,5,1),IFERROR(DATEVALUE(TEXT(Assumptions!B54,"MM/DD/YYYY")),0)&lt;=DATE(2028,5,31)),1,0)+IF(AND(Assumptions!B55&lt;&gt;"",IFERROR(DATEVALUE(TEXT(Assumptions!B55,"MM/DD/YYYY")),0)&gt;=DATE(2028,5,1),IFERROR(DATEVALUE(TEXT(Assumptions!B55,"MM/DD/YYYY")),0)&lt;=DATE(2028,5,31)),1,0)+IF(AND(Assumptions!B56&lt;&gt;"",IFERROR(DATEVALUE(TEXT(Assumptions!B56,"MM/DD/YYYY")),0)&gt;=DATE(2028,5,1),IFERROR(DATEVALUE(TEXT(Assumptions!B56,"MM/DD/YYYY")),0)&lt;=DATE(2028,5,31)),1,0)+IF(AND(Assumptions!B57&lt;&gt;"",IFERROR(DATEVALUE(TEXT(Assumptions!B57,"MM/DD/YYYY")),0)&gt;=DATE(2028,5,1),IFERROR(DATEVALUE(TEXT(Assumptions!B57,"MM/DD/YYYY")),0)&lt;=DATE(2028,5,31)),1,0)+IF(AND(Assumptions!B58&lt;&gt;"",IFERROR(DATEVALUE(TEXT(Assumptions!B58,"MM/DD/YYYY")),0)&gt;=DATE(2028,5,1),IFERROR(DATEVALUE(TEXT(Assumptions!B58,"MM/DD/YYYY")),0)&lt;=DATE(2028,5,31)),1,0)+IF(AND(Assumptions!B59&lt;&gt;"",IFERROR(DATEVALUE(TEXT(Assumptions!B59,"MM/DD/YYYY")),0)&gt;=DATE(2028,5,1),IFERROR(DATEVALUE(TEXT(Assumptions!B59,"MM/DD/YYYY")),0)&lt;=DATE(2028,5,31)),1,0)+IF(AND(Assumptions!B60&lt;&gt;"",IFERROR(DATEVALUE(TEXT(Assumptions!B60,"MM/DD/YYYY")),0)&gt;=DATE(2028,5,1),IFERROR(DATEVALUE(TEXT(Assumptions!B60,"MM/DD/YYYY")),0)&lt;=DATE(2028,5,31)),1,0))&gt;0,0,'Working Capital'!V15-'Working Capital'!U15)</f>
        <v/>
      </c>
      <c r="W13" s="156">
        <f>IF((IF(AND(Assumptions!B51&lt;&gt;"",IFERROR(DATEVALUE(TEXT(Assumptions!B51,"MM/DD/YYYY")),0)&gt;=DATE(2028,6,1),IFERROR(DATEVALUE(TEXT(Assumptions!B51,"MM/DD/YYYY")),0)&lt;=DATE(2028,6,30)),1,0)+IF(AND(Assumptions!B52&lt;&gt;"",IFERROR(DATEVALUE(TEXT(Assumptions!B52,"MM/DD/YYYY")),0)&gt;=DATE(2028,6,1),IFERROR(DATEVALUE(TEXT(Assumptions!B52,"MM/DD/YYYY")),0)&lt;=DATE(2028,6,30)),1,0)+IF(AND(Assumptions!B53&lt;&gt;"",IFERROR(DATEVALUE(TEXT(Assumptions!B53,"MM/DD/YYYY")),0)&gt;=DATE(2028,6,1),IFERROR(DATEVALUE(TEXT(Assumptions!B53,"MM/DD/YYYY")),0)&lt;=DATE(2028,6,30)),1,0)+IF(AND(Assumptions!B54&lt;&gt;"",IFERROR(DATEVALUE(TEXT(Assumptions!B54,"MM/DD/YYYY")),0)&gt;=DATE(2028,6,1),IFERROR(DATEVALUE(TEXT(Assumptions!B54,"MM/DD/YYYY")),0)&lt;=DATE(2028,6,30)),1,0)+IF(AND(Assumptions!B55&lt;&gt;"",IFERROR(DATEVALUE(TEXT(Assumptions!B55,"MM/DD/YYYY")),0)&gt;=DATE(2028,6,1),IFERROR(DATEVALUE(TEXT(Assumptions!B55,"MM/DD/YYYY")),0)&lt;=DATE(2028,6,30)),1,0)+IF(AND(Assumptions!B56&lt;&gt;"",IFERROR(DATEVALUE(TEXT(Assumptions!B56,"MM/DD/YYYY")),0)&gt;=DATE(2028,6,1),IFERROR(DATEVALUE(TEXT(Assumptions!B56,"MM/DD/YYYY")),0)&lt;=DATE(2028,6,30)),1,0)+IF(AND(Assumptions!B57&lt;&gt;"",IFERROR(DATEVALUE(TEXT(Assumptions!B57,"MM/DD/YYYY")),0)&gt;=DATE(2028,6,1),IFERROR(DATEVALUE(TEXT(Assumptions!B57,"MM/DD/YYYY")),0)&lt;=DATE(2028,6,30)),1,0)+IF(AND(Assumptions!B58&lt;&gt;"",IFERROR(DATEVALUE(TEXT(Assumptions!B58,"MM/DD/YYYY")),0)&gt;=DATE(2028,6,1),IFERROR(DATEVALUE(TEXT(Assumptions!B58,"MM/DD/YYYY")),0)&lt;=DATE(2028,6,30)),1,0)+IF(AND(Assumptions!B59&lt;&gt;"",IFERROR(DATEVALUE(TEXT(Assumptions!B59,"MM/DD/YYYY")),0)&gt;=DATE(2028,6,1),IFERROR(DATEVALUE(TEXT(Assumptions!B59,"MM/DD/YYYY")),0)&lt;=DATE(2028,6,30)),1,0)+IF(AND(Assumptions!B60&lt;&gt;"",IFERROR(DATEVALUE(TEXT(Assumptions!B60,"MM/DD/YYYY")),0)&gt;=DATE(2028,6,1),IFERROR(DATEVALUE(TEXT(Assumptions!B60,"MM/DD/YYYY")),0)&lt;=DATE(2028,6,30)),1,0))&gt;0,0,'Working Capital'!W15-'Working Capital'!V15)</f>
        <v/>
      </c>
      <c r="X13" s="156">
        <f>IF((IF(AND(Assumptions!B51&lt;&gt;"",IFERROR(DATEVALUE(TEXT(Assumptions!B51,"MM/DD/YYYY")),0)&gt;=DATE(2028,7,1),IFERROR(DATEVALUE(TEXT(Assumptions!B51,"MM/DD/YYYY")),0)&lt;=DATE(2028,7,31)),1,0)+IF(AND(Assumptions!B52&lt;&gt;"",IFERROR(DATEVALUE(TEXT(Assumptions!B52,"MM/DD/YYYY")),0)&gt;=DATE(2028,7,1),IFERROR(DATEVALUE(TEXT(Assumptions!B52,"MM/DD/YYYY")),0)&lt;=DATE(2028,7,31)),1,0)+IF(AND(Assumptions!B53&lt;&gt;"",IFERROR(DATEVALUE(TEXT(Assumptions!B53,"MM/DD/YYYY")),0)&gt;=DATE(2028,7,1),IFERROR(DATEVALUE(TEXT(Assumptions!B53,"MM/DD/YYYY")),0)&lt;=DATE(2028,7,31)),1,0)+IF(AND(Assumptions!B54&lt;&gt;"",IFERROR(DATEVALUE(TEXT(Assumptions!B54,"MM/DD/YYYY")),0)&gt;=DATE(2028,7,1),IFERROR(DATEVALUE(TEXT(Assumptions!B54,"MM/DD/YYYY")),0)&lt;=DATE(2028,7,31)),1,0)+IF(AND(Assumptions!B55&lt;&gt;"",IFERROR(DATEVALUE(TEXT(Assumptions!B55,"MM/DD/YYYY")),0)&gt;=DATE(2028,7,1),IFERROR(DATEVALUE(TEXT(Assumptions!B55,"MM/DD/YYYY")),0)&lt;=DATE(2028,7,31)),1,0)+IF(AND(Assumptions!B56&lt;&gt;"",IFERROR(DATEVALUE(TEXT(Assumptions!B56,"MM/DD/YYYY")),0)&gt;=DATE(2028,7,1),IFERROR(DATEVALUE(TEXT(Assumptions!B56,"MM/DD/YYYY")),0)&lt;=DATE(2028,7,31)),1,0)+IF(AND(Assumptions!B57&lt;&gt;"",IFERROR(DATEVALUE(TEXT(Assumptions!B57,"MM/DD/YYYY")),0)&gt;=DATE(2028,7,1),IFERROR(DATEVALUE(TEXT(Assumptions!B57,"MM/DD/YYYY")),0)&lt;=DATE(2028,7,31)),1,0)+IF(AND(Assumptions!B58&lt;&gt;"",IFERROR(DATEVALUE(TEXT(Assumptions!B58,"MM/DD/YYYY")),0)&gt;=DATE(2028,7,1),IFERROR(DATEVALUE(TEXT(Assumptions!B58,"MM/DD/YYYY")),0)&lt;=DATE(2028,7,31)),1,0)+IF(AND(Assumptions!B59&lt;&gt;"",IFERROR(DATEVALUE(TEXT(Assumptions!B59,"MM/DD/YYYY")),0)&gt;=DATE(2028,7,1),IFERROR(DATEVALUE(TEXT(Assumptions!B59,"MM/DD/YYYY")),0)&lt;=DATE(2028,7,31)),1,0)+IF(AND(Assumptions!B60&lt;&gt;"",IFERROR(DATEVALUE(TEXT(Assumptions!B60,"MM/DD/YYYY")),0)&gt;=DATE(2028,7,1),IFERROR(DATEVALUE(TEXT(Assumptions!B60,"MM/DD/YYYY")),0)&lt;=DATE(2028,7,31)),1,0))&gt;0,0,'Working Capital'!X15-'Working Capital'!W15)</f>
        <v/>
      </c>
      <c r="Y13" s="156">
        <f>IF((IF(AND(Assumptions!B51&lt;&gt;"",IFERROR(DATEVALUE(TEXT(Assumptions!B51,"MM/DD/YYYY")),0)&gt;=DATE(2028,8,1),IFERROR(DATEVALUE(TEXT(Assumptions!B51,"MM/DD/YYYY")),0)&lt;=DATE(2028,8,31)),1,0)+IF(AND(Assumptions!B52&lt;&gt;"",IFERROR(DATEVALUE(TEXT(Assumptions!B52,"MM/DD/YYYY")),0)&gt;=DATE(2028,8,1),IFERROR(DATEVALUE(TEXT(Assumptions!B52,"MM/DD/YYYY")),0)&lt;=DATE(2028,8,31)),1,0)+IF(AND(Assumptions!B53&lt;&gt;"",IFERROR(DATEVALUE(TEXT(Assumptions!B53,"MM/DD/YYYY")),0)&gt;=DATE(2028,8,1),IFERROR(DATEVALUE(TEXT(Assumptions!B53,"MM/DD/YYYY")),0)&lt;=DATE(2028,8,31)),1,0)+IF(AND(Assumptions!B54&lt;&gt;"",IFERROR(DATEVALUE(TEXT(Assumptions!B54,"MM/DD/YYYY")),0)&gt;=DATE(2028,8,1),IFERROR(DATEVALUE(TEXT(Assumptions!B54,"MM/DD/YYYY")),0)&lt;=DATE(2028,8,31)),1,0)+IF(AND(Assumptions!B55&lt;&gt;"",IFERROR(DATEVALUE(TEXT(Assumptions!B55,"MM/DD/YYYY")),0)&gt;=DATE(2028,8,1),IFERROR(DATEVALUE(TEXT(Assumptions!B55,"MM/DD/YYYY")),0)&lt;=DATE(2028,8,31)),1,0)+IF(AND(Assumptions!B56&lt;&gt;"",IFERROR(DATEVALUE(TEXT(Assumptions!B56,"MM/DD/YYYY")),0)&gt;=DATE(2028,8,1),IFERROR(DATEVALUE(TEXT(Assumptions!B56,"MM/DD/YYYY")),0)&lt;=DATE(2028,8,31)),1,0)+IF(AND(Assumptions!B57&lt;&gt;"",IFERROR(DATEVALUE(TEXT(Assumptions!B57,"MM/DD/YYYY")),0)&gt;=DATE(2028,8,1),IFERROR(DATEVALUE(TEXT(Assumptions!B57,"MM/DD/YYYY")),0)&lt;=DATE(2028,8,31)),1,0)+IF(AND(Assumptions!B58&lt;&gt;"",IFERROR(DATEVALUE(TEXT(Assumptions!B58,"MM/DD/YYYY")),0)&gt;=DATE(2028,8,1),IFERROR(DATEVALUE(TEXT(Assumptions!B58,"MM/DD/YYYY")),0)&lt;=DATE(2028,8,31)),1,0)+IF(AND(Assumptions!B59&lt;&gt;"",IFERROR(DATEVALUE(TEXT(Assumptions!B59,"MM/DD/YYYY")),0)&gt;=DATE(2028,8,1),IFERROR(DATEVALUE(TEXT(Assumptions!B59,"MM/DD/YYYY")),0)&lt;=DATE(2028,8,31)),1,0)+IF(AND(Assumptions!B60&lt;&gt;"",IFERROR(DATEVALUE(TEXT(Assumptions!B60,"MM/DD/YYYY")),0)&gt;=DATE(2028,8,1),IFERROR(DATEVALUE(TEXT(Assumptions!B60,"MM/DD/YYYY")),0)&lt;=DATE(2028,8,31)),1,0))&gt;0,0,'Working Capital'!Y15-'Working Capital'!X15)</f>
        <v/>
      </c>
      <c r="Z13" s="156">
        <f>IF((IF(AND(Assumptions!B51&lt;&gt;"",IFERROR(DATEVALUE(TEXT(Assumptions!B51,"MM/DD/YYYY")),0)&gt;=DATE(2028,9,1),IFERROR(DATEVALUE(TEXT(Assumptions!B51,"MM/DD/YYYY")),0)&lt;=DATE(2028,9,30)),1,0)+IF(AND(Assumptions!B52&lt;&gt;"",IFERROR(DATEVALUE(TEXT(Assumptions!B52,"MM/DD/YYYY")),0)&gt;=DATE(2028,9,1),IFERROR(DATEVALUE(TEXT(Assumptions!B52,"MM/DD/YYYY")),0)&lt;=DATE(2028,9,30)),1,0)+IF(AND(Assumptions!B53&lt;&gt;"",IFERROR(DATEVALUE(TEXT(Assumptions!B53,"MM/DD/YYYY")),0)&gt;=DATE(2028,9,1),IFERROR(DATEVALUE(TEXT(Assumptions!B53,"MM/DD/YYYY")),0)&lt;=DATE(2028,9,30)),1,0)+IF(AND(Assumptions!B54&lt;&gt;"",IFERROR(DATEVALUE(TEXT(Assumptions!B54,"MM/DD/YYYY")),0)&gt;=DATE(2028,9,1),IFERROR(DATEVALUE(TEXT(Assumptions!B54,"MM/DD/YYYY")),0)&lt;=DATE(2028,9,30)),1,0)+IF(AND(Assumptions!B55&lt;&gt;"",IFERROR(DATEVALUE(TEXT(Assumptions!B55,"MM/DD/YYYY")),0)&gt;=DATE(2028,9,1),IFERROR(DATEVALUE(TEXT(Assumptions!B55,"MM/DD/YYYY")),0)&lt;=DATE(2028,9,30)),1,0)+IF(AND(Assumptions!B56&lt;&gt;"",IFERROR(DATEVALUE(TEXT(Assumptions!B56,"MM/DD/YYYY")),0)&gt;=DATE(2028,9,1),IFERROR(DATEVALUE(TEXT(Assumptions!B56,"MM/DD/YYYY")),0)&lt;=DATE(2028,9,30)),1,0)+IF(AND(Assumptions!B57&lt;&gt;"",IFERROR(DATEVALUE(TEXT(Assumptions!B57,"MM/DD/YYYY")),0)&gt;=DATE(2028,9,1),IFERROR(DATEVALUE(TEXT(Assumptions!B57,"MM/DD/YYYY")),0)&lt;=DATE(2028,9,30)),1,0)+IF(AND(Assumptions!B58&lt;&gt;"",IFERROR(DATEVALUE(TEXT(Assumptions!B58,"MM/DD/YYYY")),0)&gt;=DATE(2028,9,1),IFERROR(DATEVALUE(TEXT(Assumptions!B58,"MM/DD/YYYY")),0)&lt;=DATE(2028,9,30)),1,0)+IF(AND(Assumptions!B59&lt;&gt;"",IFERROR(DATEVALUE(TEXT(Assumptions!B59,"MM/DD/YYYY")),0)&gt;=DATE(2028,9,1),IFERROR(DATEVALUE(TEXT(Assumptions!B59,"MM/DD/YYYY")),0)&lt;=DATE(2028,9,30)),1,0)+IF(AND(Assumptions!B60&lt;&gt;"",IFERROR(DATEVALUE(TEXT(Assumptions!B60,"MM/DD/YYYY")),0)&gt;=DATE(2028,9,1),IFERROR(DATEVALUE(TEXT(Assumptions!B60,"MM/DD/YYYY")),0)&lt;=DATE(2028,9,30)),1,0))&gt;0,0,'Working Capital'!Z15-'Working Capital'!Y15)</f>
        <v/>
      </c>
      <c r="AA13" s="156">
        <f>IF((IF(AND(Assumptions!B51&lt;&gt;"",IFERROR(DATEVALUE(TEXT(Assumptions!B51,"MM/DD/YYYY")),0)&gt;=DATE(2028,10,1),IFERROR(DATEVALUE(TEXT(Assumptions!B51,"MM/DD/YYYY")),0)&lt;=DATE(2028,10,31)),1,0)+IF(AND(Assumptions!B52&lt;&gt;"",IFERROR(DATEVALUE(TEXT(Assumptions!B52,"MM/DD/YYYY")),0)&gt;=DATE(2028,10,1),IFERROR(DATEVALUE(TEXT(Assumptions!B52,"MM/DD/YYYY")),0)&lt;=DATE(2028,10,31)),1,0)+IF(AND(Assumptions!B53&lt;&gt;"",IFERROR(DATEVALUE(TEXT(Assumptions!B53,"MM/DD/YYYY")),0)&gt;=DATE(2028,10,1),IFERROR(DATEVALUE(TEXT(Assumptions!B53,"MM/DD/YYYY")),0)&lt;=DATE(2028,10,31)),1,0)+IF(AND(Assumptions!B54&lt;&gt;"",IFERROR(DATEVALUE(TEXT(Assumptions!B54,"MM/DD/YYYY")),0)&gt;=DATE(2028,10,1),IFERROR(DATEVALUE(TEXT(Assumptions!B54,"MM/DD/YYYY")),0)&lt;=DATE(2028,10,31)),1,0)+IF(AND(Assumptions!B55&lt;&gt;"",IFERROR(DATEVALUE(TEXT(Assumptions!B55,"MM/DD/YYYY")),0)&gt;=DATE(2028,10,1),IFERROR(DATEVALUE(TEXT(Assumptions!B55,"MM/DD/YYYY")),0)&lt;=DATE(2028,10,31)),1,0)+IF(AND(Assumptions!B56&lt;&gt;"",IFERROR(DATEVALUE(TEXT(Assumptions!B56,"MM/DD/YYYY")),0)&gt;=DATE(2028,10,1),IFERROR(DATEVALUE(TEXT(Assumptions!B56,"MM/DD/YYYY")),0)&lt;=DATE(2028,10,31)),1,0)+IF(AND(Assumptions!B57&lt;&gt;"",IFERROR(DATEVALUE(TEXT(Assumptions!B57,"MM/DD/YYYY")),0)&gt;=DATE(2028,10,1),IFERROR(DATEVALUE(TEXT(Assumptions!B57,"MM/DD/YYYY")),0)&lt;=DATE(2028,10,31)),1,0)+IF(AND(Assumptions!B58&lt;&gt;"",IFERROR(DATEVALUE(TEXT(Assumptions!B58,"MM/DD/YYYY")),0)&gt;=DATE(2028,10,1),IFERROR(DATEVALUE(TEXT(Assumptions!B58,"MM/DD/YYYY")),0)&lt;=DATE(2028,10,31)),1,0)+IF(AND(Assumptions!B59&lt;&gt;"",IFERROR(DATEVALUE(TEXT(Assumptions!B59,"MM/DD/YYYY")),0)&gt;=DATE(2028,10,1),IFERROR(DATEVALUE(TEXT(Assumptions!B59,"MM/DD/YYYY")),0)&lt;=DATE(2028,10,31)),1,0)+IF(AND(Assumptions!B60&lt;&gt;"",IFERROR(DATEVALUE(TEXT(Assumptions!B60,"MM/DD/YYYY")),0)&gt;=DATE(2028,10,1),IFERROR(DATEVALUE(TEXT(Assumptions!B60,"MM/DD/YYYY")),0)&lt;=DATE(2028,10,31)),1,0))&gt;0,0,'Working Capital'!AA15-'Working Capital'!Z15)</f>
        <v/>
      </c>
      <c r="AB13" s="156">
        <f>IF((IF(AND(Assumptions!B51&lt;&gt;"",IFERROR(DATEVALUE(TEXT(Assumptions!B51,"MM/DD/YYYY")),0)&gt;=DATE(2028,11,1),IFERROR(DATEVALUE(TEXT(Assumptions!B51,"MM/DD/YYYY")),0)&lt;=DATE(2028,11,30)),1,0)+IF(AND(Assumptions!B52&lt;&gt;"",IFERROR(DATEVALUE(TEXT(Assumptions!B52,"MM/DD/YYYY")),0)&gt;=DATE(2028,11,1),IFERROR(DATEVALUE(TEXT(Assumptions!B52,"MM/DD/YYYY")),0)&lt;=DATE(2028,11,30)),1,0)+IF(AND(Assumptions!B53&lt;&gt;"",IFERROR(DATEVALUE(TEXT(Assumptions!B53,"MM/DD/YYYY")),0)&gt;=DATE(2028,11,1),IFERROR(DATEVALUE(TEXT(Assumptions!B53,"MM/DD/YYYY")),0)&lt;=DATE(2028,11,30)),1,0)+IF(AND(Assumptions!B54&lt;&gt;"",IFERROR(DATEVALUE(TEXT(Assumptions!B54,"MM/DD/YYYY")),0)&gt;=DATE(2028,11,1),IFERROR(DATEVALUE(TEXT(Assumptions!B54,"MM/DD/YYYY")),0)&lt;=DATE(2028,11,30)),1,0)+IF(AND(Assumptions!B55&lt;&gt;"",IFERROR(DATEVALUE(TEXT(Assumptions!B55,"MM/DD/YYYY")),0)&gt;=DATE(2028,11,1),IFERROR(DATEVALUE(TEXT(Assumptions!B55,"MM/DD/YYYY")),0)&lt;=DATE(2028,11,30)),1,0)+IF(AND(Assumptions!B56&lt;&gt;"",IFERROR(DATEVALUE(TEXT(Assumptions!B56,"MM/DD/YYYY")),0)&gt;=DATE(2028,11,1),IFERROR(DATEVALUE(TEXT(Assumptions!B56,"MM/DD/YYYY")),0)&lt;=DATE(2028,11,30)),1,0)+IF(AND(Assumptions!B57&lt;&gt;"",IFERROR(DATEVALUE(TEXT(Assumptions!B57,"MM/DD/YYYY")),0)&gt;=DATE(2028,11,1),IFERROR(DATEVALUE(TEXT(Assumptions!B57,"MM/DD/YYYY")),0)&lt;=DATE(2028,11,30)),1,0)+IF(AND(Assumptions!B58&lt;&gt;"",IFERROR(DATEVALUE(TEXT(Assumptions!B58,"MM/DD/YYYY")),0)&gt;=DATE(2028,11,1),IFERROR(DATEVALUE(TEXT(Assumptions!B58,"MM/DD/YYYY")),0)&lt;=DATE(2028,11,30)),1,0)+IF(AND(Assumptions!B59&lt;&gt;"",IFERROR(DATEVALUE(TEXT(Assumptions!B59,"MM/DD/YYYY")),0)&gt;=DATE(2028,11,1),IFERROR(DATEVALUE(TEXT(Assumptions!B59,"MM/DD/YYYY")),0)&lt;=DATE(2028,11,30)),1,0)+IF(AND(Assumptions!B60&lt;&gt;"",IFERROR(DATEVALUE(TEXT(Assumptions!B60,"MM/DD/YYYY")),0)&gt;=DATE(2028,11,1),IFERROR(DATEVALUE(TEXT(Assumptions!B60,"MM/DD/YYYY")),0)&lt;=DATE(2028,11,30)),1,0))&gt;0,0,'Working Capital'!AB15-'Working Capital'!AA15)</f>
        <v/>
      </c>
      <c r="AC13" s="156">
        <f>IF((IF(AND(Assumptions!B51&lt;&gt;"",IFERROR(DATEVALUE(TEXT(Assumptions!B51,"MM/DD/YYYY")),0)&gt;=DATE(2028,12,1),IFERROR(DATEVALUE(TEXT(Assumptions!B51,"MM/DD/YYYY")),0)&lt;=DATE(2028,12,31)),1,0)+IF(AND(Assumptions!B52&lt;&gt;"",IFERROR(DATEVALUE(TEXT(Assumptions!B52,"MM/DD/YYYY")),0)&gt;=DATE(2028,12,1),IFERROR(DATEVALUE(TEXT(Assumptions!B52,"MM/DD/YYYY")),0)&lt;=DATE(2028,12,31)),1,0)+IF(AND(Assumptions!B53&lt;&gt;"",IFERROR(DATEVALUE(TEXT(Assumptions!B53,"MM/DD/YYYY")),0)&gt;=DATE(2028,12,1),IFERROR(DATEVALUE(TEXT(Assumptions!B53,"MM/DD/YYYY")),0)&lt;=DATE(2028,12,31)),1,0)+IF(AND(Assumptions!B54&lt;&gt;"",IFERROR(DATEVALUE(TEXT(Assumptions!B54,"MM/DD/YYYY")),0)&gt;=DATE(2028,12,1),IFERROR(DATEVALUE(TEXT(Assumptions!B54,"MM/DD/YYYY")),0)&lt;=DATE(2028,12,31)),1,0)+IF(AND(Assumptions!B55&lt;&gt;"",IFERROR(DATEVALUE(TEXT(Assumptions!B55,"MM/DD/YYYY")),0)&gt;=DATE(2028,12,1),IFERROR(DATEVALUE(TEXT(Assumptions!B55,"MM/DD/YYYY")),0)&lt;=DATE(2028,12,31)),1,0)+IF(AND(Assumptions!B56&lt;&gt;"",IFERROR(DATEVALUE(TEXT(Assumptions!B56,"MM/DD/YYYY")),0)&gt;=DATE(2028,12,1),IFERROR(DATEVALUE(TEXT(Assumptions!B56,"MM/DD/YYYY")),0)&lt;=DATE(2028,12,31)),1,0)+IF(AND(Assumptions!B57&lt;&gt;"",IFERROR(DATEVALUE(TEXT(Assumptions!B57,"MM/DD/YYYY")),0)&gt;=DATE(2028,12,1),IFERROR(DATEVALUE(TEXT(Assumptions!B57,"MM/DD/YYYY")),0)&lt;=DATE(2028,12,31)),1,0)+IF(AND(Assumptions!B58&lt;&gt;"",IFERROR(DATEVALUE(TEXT(Assumptions!B58,"MM/DD/YYYY")),0)&gt;=DATE(2028,12,1),IFERROR(DATEVALUE(TEXT(Assumptions!B58,"MM/DD/YYYY")),0)&lt;=DATE(2028,12,31)),1,0)+IF(AND(Assumptions!B59&lt;&gt;"",IFERROR(DATEVALUE(TEXT(Assumptions!B59,"MM/DD/YYYY")),0)&gt;=DATE(2028,12,1),IFERROR(DATEVALUE(TEXT(Assumptions!B59,"MM/DD/YYYY")),0)&lt;=DATE(2028,12,31)),1,0)+IF(AND(Assumptions!B60&lt;&gt;"",IFERROR(DATEVALUE(TEXT(Assumptions!B60,"MM/DD/YYYY")),0)&gt;=DATE(2028,12,1),IFERROR(DATEVALUE(TEXT(Assumptions!B60,"MM/DD/YYYY")),0)&lt;=DATE(2028,12,31)),1,0))&gt;0,0,'Working Capital'!AC15-'Working Capital'!AB15)</f>
        <v/>
      </c>
      <c r="AD13" s="156">
        <f>IF((IF(AND(Assumptions!B51&lt;&gt;"",IFERROR(DATEVALUE(TEXT(Assumptions!B51,"MM/DD/YYYY")),0)&gt;=DATE(2029,1,1),IFERROR(DATEVALUE(TEXT(Assumptions!B51,"MM/DD/YYYY")),0)&lt;=DATE(2029,1,31)),1,0)+IF(AND(Assumptions!B52&lt;&gt;"",IFERROR(DATEVALUE(TEXT(Assumptions!B52,"MM/DD/YYYY")),0)&gt;=DATE(2029,1,1),IFERROR(DATEVALUE(TEXT(Assumptions!B52,"MM/DD/YYYY")),0)&lt;=DATE(2029,1,31)),1,0)+IF(AND(Assumptions!B53&lt;&gt;"",IFERROR(DATEVALUE(TEXT(Assumptions!B53,"MM/DD/YYYY")),0)&gt;=DATE(2029,1,1),IFERROR(DATEVALUE(TEXT(Assumptions!B53,"MM/DD/YYYY")),0)&lt;=DATE(2029,1,31)),1,0)+IF(AND(Assumptions!B54&lt;&gt;"",IFERROR(DATEVALUE(TEXT(Assumptions!B54,"MM/DD/YYYY")),0)&gt;=DATE(2029,1,1),IFERROR(DATEVALUE(TEXT(Assumptions!B54,"MM/DD/YYYY")),0)&lt;=DATE(2029,1,31)),1,0)+IF(AND(Assumptions!B55&lt;&gt;"",IFERROR(DATEVALUE(TEXT(Assumptions!B55,"MM/DD/YYYY")),0)&gt;=DATE(2029,1,1),IFERROR(DATEVALUE(TEXT(Assumptions!B55,"MM/DD/YYYY")),0)&lt;=DATE(2029,1,31)),1,0)+IF(AND(Assumptions!B56&lt;&gt;"",IFERROR(DATEVALUE(TEXT(Assumptions!B56,"MM/DD/YYYY")),0)&gt;=DATE(2029,1,1),IFERROR(DATEVALUE(TEXT(Assumptions!B56,"MM/DD/YYYY")),0)&lt;=DATE(2029,1,31)),1,0)+IF(AND(Assumptions!B57&lt;&gt;"",IFERROR(DATEVALUE(TEXT(Assumptions!B57,"MM/DD/YYYY")),0)&gt;=DATE(2029,1,1),IFERROR(DATEVALUE(TEXT(Assumptions!B57,"MM/DD/YYYY")),0)&lt;=DATE(2029,1,31)),1,0)+IF(AND(Assumptions!B58&lt;&gt;"",IFERROR(DATEVALUE(TEXT(Assumptions!B58,"MM/DD/YYYY")),0)&gt;=DATE(2029,1,1),IFERROR(DATEVALUE(TEXT(Assumptions!B58,"MM/DD/YYYY")),0)&lt;=DATE(2029,1,31)),1,0)+IF(AND(Assumptions!B59&lt;&gt;"",IFERROR(DATEVALUE(TEXT(Assumptions!B59,"MM/DD/YYYY")),0)&gt;=DATE(2029,1,1),IFERROR(DATEVALUE(TEXT(Assumptions!B59,"MM/DD/YYYY")),0)&lt;=DATE(2029,1,31)),1,0)+IF(AND(Assumptions!B60&lt;&gt;"",IFERROR(DATEVALUE(TEXT(Assumptions!B60,"MM/DD/YYYY")),0)&gt;=DATE(2029,1,1),IFERROR(DATEVALUE(TEXT(Assumptions!B60,"MM/DD/YYYY")),0)&lt;=DATE(2029,1,31)),1,0))&gt;0,0,'Working Capital'!AD15-'Working Capital'!AC15)</f>
        <v/>
      </c>
      <c r="AE13" s="156">
        <f>IF((IF(AND(Assumptions!B51&lt;&gt;"",IFERROR(DATEVALUE(TEXT(Assumptions!B51,"MM/DD/YYYY")),0)&gt;=DATE(2029,2,1),IFERROR(DATEVALUE(TEXT(Assumptions!B51,"MM/DD/YYYY")),0)&lt;=DATE(2029,2,28)),1,0)+IF(AND(Assumptions!B52&lt;&gt;"",IFERROR(DATEVALUE(TEXT(Assumptions!B52,"MM/DD/YYYY")),0)&gt;=DATE(2029,2,1),IFERROR(DATEVALUE(TEXT(Assumptions!B52,"MM/DD/YYYY")),0)&lt;=DATE(2029,2,28)),1,0)+IF(AND(Assumptions!B53&lt;&gt;"",IFERROR(DATEVALUE(TEXT(Assumptions!B53,"MM/DD/YYYY")),0)&gt;=DATE(2029,2,1),IFERROR(DATEVALUE(TEXT(Assumptions!B53,"MM/DD/YYYY")),0)&lt;=DATE(2029,2,28)),1,0)+IF(AND(Assumptions!B54&lt;&gt;"",IFERROR(DATEVALUE(TEXT(Assumptions!B54,"MM/DD/YYYY")),0)&gt;=DATE(2029,2,1),IFERROR(DATEVALUE(TEXT(Assumptions!B54,"MM/DD/YYYY")),0)&lt;=DATE(2029,2,28)),1,0)+IF(AND(Assumptions!B55&lt;&gt;"",IFERROR(DATEVALUE(TEXT(Assumptions!B55,"MM/DD/YYYY")),0)&gt;=DATE(2029,2,1),IFERROR(DATEVALUE(TEXT(Assumptions!B55,"MM/DD/YYYY")),0)&lt;=DATE(2029,2,28)),1,0)+IF(AND(Assumptions!B56&lt;&gt;"",IFERROR(DATEVALUE(TEXT(Assumptions!B56,"MM/DD/YYYY")),0)&gt;=DATE(2029,2,1),IFERROR(DATEVALUE(TEXT(Assumptions!B56,"MM/DD/YYYY")),0)&lt;=DATE(2029,2,28)),1,0)+IF(AND(Assumptions!B57&lt;&gt;"",IFERROR(DATEVALUE(TEXT(Assumptions!B57,"MM/DD/YYYY")),0)&gt;=DATE(2029,2,1),IFERROR(DATEVALUE(TEXT(Assumptions!B57,"MM/DD/YYYY")),0)&lt;=DATE(2029,2,28)),1,0)+IF(AND(Assumptions!B58&lt;&gt;"",IFERROR(DATEVALUE(TEXT(Assumptions!B58,"MM/DD/YYYY")),0)&gt;=DATE(2029,2,1),IFERROR(DATEVALUE(TEXT(Assumptions!B58,"MM/DD/YYYY")),0)&lt;=DATE(2029,2,28)),1,0)+IF(AND(Assumptions!B59&lt;&gt;"",IFERROR(DATEVALUE(TEXT(Assumptions!B59,"MM/DD/YYYY")),0)&gt;=DATE(2029,2,1),IFERROR(DATEVALUE(TEXT(Assumptions!B59,"MM/DD/YYYY")),0)&lt;=DATE(2029,2,28)),1,0)+IF(AND(Assumptions!B60&lt;&gt;"",IFERROR(DATEVALUE(TEXT(Assumptions!B60,"MM/DD/YYYY")),0)&gt;=DATE(2029,2,1),IFERROR(DATEVALUE(TEXT(Assumptions!B60,"MM/DD/YYYY")),0)&lt;=DATE(2029,2,28)),1,0))&gt;0,0,'Working Capital'!AE15-'Working Capital'!AD15)</f>
        <v/>
      </c>
      <c r="AF13" s="156">
        <f>IF((IF(AND(Assumptions!B51&lt;&gt;"",IFERROR(DATEVALUE(TEXT(Assumptions!B51,"MM/DD/YYYY")),0)&gt;=DATE(2029,3,1),IFERROR(DATEVALUE(TEXT(Assumptions!B51,"MM/DD/YYYY")),0)&lt;=DATE(2029,3,31)),1,0)+IF(AND(Assumptions!B52&lt;&gt;"",IFERROR(DATEVALUE(TEXT(Assumptions!B52,"MM/DD/YYYY")),0)&gt;=DATE(2029,3,1),IFERROR(DATEVALUE(TEXT(Assumptions!B52,"MM/DD/YYYY")),0)&lt;=DATE(2029,3,31)),1,0)+IF(AND(Assumptions!B53&lt;&gt;"",IFERROR(DATEVALUE(TEXT(Assumptions!B53,"MM/DD/YYYY")),0)&gt;=DATE(2029,3,1),IFERROR(DATEVALUE(TEXT(Assumptions!B53,"MM/DD/YYYY")),0)&lt;=DATE(2029,3,31)),1,0)+IF(AND(Assumptions!B54&lt;&gt;"",IFERROR(DATEVALUE(TEXT(Assumptions!B54,"MM/DD/YYYY")),0)&gt;=DATE(2029,3,1),IFERROR(DATEVALUE(TEXT(Assumptions!B54,"MM/DD/YYYY")),0)&lt;=DATE(2029,3,31)),1,0)+IF(AND(Assumptions!B55&lt;&gt;"",IFERROR(DATEVALUE(TEXT(Assumptions!B55,"MM/DD/YYYY")),0)&gt;=DATE(2029,3,1),IFERROR(DATEVALUE(TEXT(Assumptions!B55,"MM/DD/YYYY")),0)&lt;=DATE(2029,3,31)),1,0)+IF(AND(Assumptions!B56&lt;&gt;"",IFERROR(DATEVALUE(TEXT(Assumptions!B56,"MM/DD/YYYY")),0)&gt;=DATE(2029,3,1),IFERROR(DATEVALUE(TEXT(Assumptions!B56,"MM/DD/YYYY")),0)&lt;=DATE(2029,3,31)),1,0)+IF(AND(Assumptions!B57&lt;&gt;"",IFERROR(DATEVALUE(TEXT(Assumptions!B57,"MM/DD/YYYY")),0)&gt;=DATE(2029,3,1),IFERROR(DATEVALUE(TEXT(Assumptions!B57,"MM/DD/YYYY")),0)&lt;=DATE(2029,3,31)),1,0)+IF(AND(Assumptions!B58&lt;&gt;"",IFERROR(DATEVALUE(TEXT(Assumptions!B58,"MM/DD/YYYY")),0)&gt;=DATE(2029,3,1),IFERROR(DATEVALUE(TEXT(Assumptions!B58,"MM/DD/YYYY")),0)&lt;=DATE(2029,3,31)),1,0)+IF(AND(Assumptions!B59&lt;&gt;"",IFERROR(DATEVALUE(TEXT(Assumptions!B59,"MM/DD/YYYY")),0)&gt;=DATE(2029,3,1),IFERROR(DATEVALUE(TEXT(Assumptions!B59,"MM/DD/YYYY")),0)&lt;=DATE(2029,3,31)),1,0)+IF(AND(Assumptions!B60&lt;&gt;"",IFERROR(DATEVALUE(TEXT(Assumptions!B60,"MM/DD/YYYY")),0)&gt;=DATE(2029,3,1),IFERROR(DATEVALUE(TEXT(Assumptions!B60,"MM/DD/YYYY")),0)&lt;=DATE(2029,3,31)),1,0))&gt;0,0,'Working Capital'!AF15-'Working Capital'!AE15)</f>
        <v/>
      </c>
      <c r="AG13" s="156">
        <f>IF((IF(AND(Assumptions!B51&lt;&gt;"",IFERROR(DATEVALUE(TEXT(Assumptions!B51,"MM/DD/YYYY")),0)&gt;=DATE(2029,4,1),IFERROR(DATEVALUE(TEXT(Assumptions!B51,"MM/DD/YYYY")),0)&lt;=DATE(2029,4,30)),1,0)+IF(AND(Assumptions!B52&lt;&gt;"",IFERROR(DATEVALUE(TEXT(Assumptions!B52,"MM/DD/YYYY")),0)&gt;=DATE(2029,4,1),IFERROR(DATEVALUE(TEXT(Assumptions!B52,"MM/DD/YYYY")),0)&lt;=DATE(2029,4,30)),1,0)+IF(AND(Assumptions!B53&lt;&gt;"",IFERROR(DATEVALUE(TEXT(Assumptions!B53,"MM/DD/YYYY")),0)&gt;=DATE(2029,4,1),IFERROR(DATEVALUE(TEXT(Assumptions!B53,"MM/DD/YYYY")),0)&lt;=DATE(2029,4,30)),1,0)+IF(AND(Assumptions!B54&lt;&gt;"",IFERROR(DATEVALUE(TEXT(Assumptions!B54,"MM/DD/YYYY")),0)&gt;=DATE(2029,4,1),IFERROR(DATEVALUE(TEXT(Assumptions!B54,"MM/DD/YYYY")),0)&lt;=DATE(2029,4,30)),1,0)+IF(AND(Assumptions!B55&lt;&gt;"",IFERROR(DATEVALUE(TEXT(Assumptions!B55,"MM/DD/YYYY")),0)&gt;=DATE(2029,4,1),IFERROR(DATEVALUE(TEXT(Assumptions!B55,"MM/DD/YYYY")),0)&lt;=DATE(2029,4,30)),1,0)+IF(AND(Assumptions!B56&lt;&gt;"",IFERROR(DATEVALUE(TEXT(Assumptions!B56,"MM/DD/YYYY")),0)&gt;=DATE(2029,4,1),IFERROR(DATEVALUE(TEXT(Assumptions!B56,"MM/DD/YYYY")),0)&lt;=DATE(2029,4,30)),1,0)+IF(AND(Assumptions!B57&lt;&gt;"",IFERROR(DATEVALUE(TEXT(Assumptions!B57,"MM/DD/YYYY")),0)&gt;=DATE(2029,4,1),IFERROR(DATEVALUE(TEXT(Assumptions!B57,"MM/DD/YYYY")),0)&lt;=DATE(2029,4,30)),1,0)+IF(AND(Assumptions!B58&lt;&gt;"",IFERROR(DATEVALUE(TEXT(Assumptions!B58,"MM/DD/YYYY")),0)&gt;=DATE(2029,4,1),IFERROR(DATEVALUE(TEXT(Assumptions!B58,"MM/DD/YYYY")),0)&lt;=DATE(2029,4,30)),1,0)+IF(AND(Assumptions!B59&lt;&gt;"",IFERROR(DATEVALUE(TEXT(Assumptions!B59,"MM/DD/YYYY")),0)&gt;=DATE(2029,4,1),IFERROR(DATEVALUE(TEXT(Assumptions!B59,"MM/DD/YYYY")),0)&lt;=DATE(2029,4,30)),1,0)+IF(AND(Assumptions!B60&lt;&gt;"",IFERROR(DATEVALUE(TEXT(Assumptions!B60,"MM/DD/YYYY")),0)&gt;=DATE(2029,4,1),IFERROR(DATEVALUE(TEXT(Assumptions!B60,"MM/DD/YYYY")),0)&lt;=DATE(2029,4,30)),1,0))&gt;0,0,'Working Capital'!AG15-'Working Capital'!AF15)</f>
        <v/>
      </c>
      <c r="AH13" s="156">
        <f>IF((IF(AND(Assumptions!B51&lt;&gt;"",IFERROR(DATEVALUE(TEXT(Assumptions!B51,"MM/DD/YYYY")),0)&gt;=DATE(2029,5,1),IFERROR(DATEVALUE(TEXT(Assumptions!B51,"MM/DD/YYYY")),0)&lt;=DATE(2029,5,31)),1,0)+IF(AND(Assumptions!B52&lt;&gt;"",IFERROR(DATEVALUE(TEXT(Assumptions!B52,"MM/DD/YYYY")),0)&gt;=DATE(2029,5,1),IFERROR(DATEVALUE(TEXT(Assumptions!B52,"MM/DD/YYYY")),0)&lt;=DATE(2029,5,31)),1,0)+IF(AND(Assumptions!B53&lt;&gt;"",IFERROR(DATEVALUE(TEXT(Assumptions!B53,"MM/DD/YYYY")),0)&gt;=DATE(2029,5,1),IFERROR(DATEVALUE(TEXT(Assumptions!B53,"MM/DD/YYYY")),0)&lt;=DATE(2029,5,31)),1,0)+IF(AND(Assumptions!B54&lt;&gt;"",IFERROR(DATEVALUE(TEXT(Assumptions!B54,"MM/DD/YYYY")),0)&gt;=DATE(2029,5,1),IFERROR(DATEVALUE(TEXT(Assumptions!B54,"MM/DD/YYYY")),0)&lt;=DATE(2029,5,31)),1,0)+IF(AND(Assumptions!B55&lt;&gt;"",IFERROR(DATEVALUE(TEXT(Assumptions!B55,"MM/DD/YYYY")),0)&gt;=DATE(2029,5,1),IFERROR(DATEVALUE(TEXT(Assumptions!B55,"MM/DD/YYYY")),0)&lt;=DATE(2029,5,31)),1,0)+IF(AND(Assumptions!B56&lt;&gt;"",IFERROR(DATEVALUE(TEXT(Assumptions!B56,"MM/DD/YYYY")),0)&gt;=DATE(2029,5,1),IFERROR(DATEVALUE(TEXT(Assumptions!B56,"MM/DD/YYYY")),0)&lt;=DATE(2029,5,31)),1,0)+IF(AND(Assumptions!B57&lt;&gt;"",IFERROR(DATEVALUE(TEXT(Assumptions!B57,"MM/DD/YYYY")),0)&gt;=DATE(2029,5,1),IFERROR(DATEVALUE(TEXT(Assumptions!B57,"MM/DD/YYYY")),0)&lt;=DATE(2029,5,31)),1,0)+IF(AND(Assumptions!B58&lt;&gt;"",IFERROR(DATEVALUE(TEXT(Assumptions!B58,"MM/DD/YYYY")),0)&gt;=DATE(2029,5,1),IFERROR(DATEVALUE(TEXT(Assumptions!B58,"MM/DD/YYYY")),0)&lt;=DATE(2029,5,31)),1,0)+IF(AND(Assumptions!B59&lt;&gt;"",IFERROR(DATEVALUE(TEXT(Assumptions!B59,"MM/DD/YYYY")),0)&gt;=DATE(2029,5,1),IFERROR(DATEVALUE(TEXT(Assumptions!B59,"MM/DD/YYYY")),0)&lt;=DATE(2029,5,31)),1,0)+IF(AND(Assumptions!B60&lt;&gt;"",IFERROR(DATEVALUE(TEXT(Assumptions!B60,"MM/DD/YYYY")),0)&gt;=DATE(2029,5,1),IFERROR(DATEVALUE(TEXT(Assumptions!B60,"MM/DD/YYYY")),0)&lt;=DATE(2029,5,31)),1,0))&gt;0,0,'Working Capital'!AH15-'Working Capital'!AG15)</f>
        <v/>
      </c>
      <c r="AI13" s="156">
        <f>IF((IF(AND(Assumptions!B51&lt;&gt;"",IFERROR(DATEVALUE(TEXT(Assumptions!B51,"MM/DD/YYYY")),0)&gt;=DATE(2029,6,1),IFERROR(DATEVALUE(TEXT(Assumptions!B51,"MM/DD/YYYY")),0)&lt;=DATE(2029,6,30)),1,0)+IF(AND(Assumptions!B52&lt;&gt;"",IFERROR(DATEVALUE(TEXT(Assumptions!B52,"MM/DD/YYYY")),0)&gt;=DATE(2029,6,1),IFERROR(DATEVALUE(TEXT(Assumptions!B52,"MM/DD/YYYY")),0)&lt;=DATE(2029,6,30)),1,0)+IF(AND(Assumptions!B53&lt;&gt;"",IFERROR(DATEVALUE(TEXT(Assumptions!B53,"MM/DD/YYYY")),0)&gt;=DATE(2029,6,1),IFERROR(DATEVALUE(TEXT(Assumptions!B53,"MM/DD/YYYY")),0)&lt;=DATE(2029,6,30)),1,0)+IF(AND(Assumptions!B54&lt;&gt;"",IFERROR(DATEVALUE(TEXT(Assumptions!B54,"MM/DD/YYYY")),0)&gt;=DATE(2029,6,1),IFERROR(DATEVALUE(TEXT(Assumptions!B54,"MM/DD/YYYY")),0)&lt;=DATE(2029,6,30)),1,0)+IF(AND(Assumptions!B55&lt;&gt;"",IFERROR(DATEVALUE(TEXT(Assumptions!B55,"MM/DD/YYYY")),0)&gt;=DATE(2029,6,1),IFERROR(DATEVALUE(TEXT(Assumptions!B55,"MM/DD/YYYY")),0)&lt;=DATE(2029,6,30)),1,0)+IF(AND(Assumptions!B56&lt;&gt;"",IFERROR(DATEVALUE(TEXT(Assumptions!B56,"MM/DD/YYYY")),0)&gt;=DATE(2029,6,1),IFERROR(DATEVALUE(TEXT(Assumptions!B56,"MM/DD/YYYY")),0)&lt;=DATE(2029,6,30)),1,0)+IF(AND(Assumptions!B57&lt;&gt;"",IFERROR(DATEVALUE(TEXT(Assumptions!B57,"MM/DD/YYYY")),0)&gt;=DATE(2029,6,1),IFERROR(DATEVALUE(TEXT(Assumptions!B57,"MM/DD/YYYY")),0)&lt;=DATE(2029,6,30)),1,0)+IF(AND(Assumptions!B58&lt;&gt;"",IFERROR(DATEVALUE(TEXT(Assumptions!B58,"MM/DD/YYYY")),0)&gt;=DATE(2029,6,1),IFERROR(DATEVALUE(TEXT(Assumptions!B58,"MM/DD/YYYY")),0)&lt;=DATE(2029,6,30)),1,0)+IF(AND(Assumptions!B59&lt;&gt;"",IFERROR(DATEVALUE(TEXT(Assumptions!B59,"MM/DD/YYYY")),0)&gt;=DATE(2029,6,1),IFERROR(DATEVALUE(TEXT(Assumptions!B59,"MM/DD/YYYY")),0)&lt;=DATE(2029,6,30)),1,0)+IF(AND(Assumptions!B60&lt;&gt;"",IFERROR(DATEVALUE(TEXT(Assumptions!B60,"MM/DD/YYYY")),0)&gt;=DATE(2029,6,1),IFERROR(DATEVALUE(TEXT(Assumptions!B60,"MM/DD/YYYY")),0)&lt;=DATE(2029,6,30)),1,0))&gt;0,0,'Working Capital'!AI15-'Working Capital'!AH15)</f>
        <v/>
      </c>
      <c r="AJ13" s="156">
        <f>IF((IF(AND(Assumptions!B51&lt;&gt;"",IFERROR(DATEVALUE(TEXT(Assumptions!B51,"MM/DD/YYYY")),0)&gt;=DATE(2029,7,1),IFERROR(DATEVALUE(TEXT(Assumptions!B51,"MM/DD/YYYY")),0)&lt;=DATE(2029,7,31)),1,0)+IF(AND(Assumptions!B52&lt;&gt;"",IFERROR(DATEVALUE(TEXT(Assumptions!B52,"MM/DD/YYYY")),0)&gt;=DATE(2029,7,1),IFERROR(DATEVALUE(TEXT(Assumptions!B52,"MM/DD/YYYY")),0)&lt;=DATE(2029,7,31)),1,0)+IF(AND(Assumptions!B53&lt;&gt;"",IFERROR(DATEVALUE(TEXT(Assumptions!B53,"MM/DD/YYYY")),0)&gt;=DATE(2029,7,1),IFERROR(DATEVALUE(TEXT(Assumptions!B53,"MM/DD/YYYY")),0)&lt;=DATE(2029,7,31)),1,0)+IF(AND(Assumptions!B54&lt;&gt;"",IFERROR(DATEVALUE(TEXT(Assumptions!B54,"MM/DD/YYYY")),0)&gt;=DATE(2029,7,1),IFERROR(DATEVALUE(TEXT(Assumptions!B54,"MM/DD/YYYY")),0)&lt;=DATE(2029,7,31)),1,0)+IF(AND(Assumptions!B55&lt;&gt;"",IFERROR(DATEVALUE(TEXT(Assumptions!B55,"MM/DD/YYYY")),0)&gt;=DATE(2029,7,1),IFERROR(DATEVALUE(TEXT(Assumptions!B55,"MM/DD/YYYY")),0)&lt;=DATE(2029,7,31)),1,0)+IF(AND(Assumptions!B56&lt;&gt;"",IFERROR(DATEVALUE(TEXT(Assumptions!B56,"MM/DD/YYYY")),0)&gt;=DATE(2029,7,1),IFERROR(DATEVALUE(TEXT(Assumptions!B56,"MM/DD/YYYY")),0)&lt;=DATE(2029,7,31)),1,0)+IF(AND(Assumptions!B57&lt;&gt;"",IFERROR(DATEVALUE(TEXT(Assumptions!B57,"MM/DD/YYYY")),0)&gt;=DATE(2029,7,1),IFERROR(DATEVALUE(TEXT(Assumptions!B57,"MM/DD/YYYY")),0)&lt;=DATE(2029,7,31)),1,0)+IF(AND(Assumptions!B58&lt;&gt;"",IFERROR(DATEVALUE(TEXT(Assumptions!B58,"MM/DD/YYYY")),0)&gt;=DATE(2029,7,1),IFERROR(DATEVALUE(TEXT(Assumptions!B58,"MM/DD/YYYY")),0)&lt;=DATE(2029,7,31)),1,0)+IF(AND(Assumptions!B59&lt;&gt;"",IFERROR(DATEVALUE(TEXT(Assumptions!B59,"MM/DD/YYYY")),0)&gt;=DATE(2029,7,1),IFERROR(DATEVALUE(TEXT(Assumptions!B59,"MM/DD/YYYY")),0)&lt;=DATE(2029,7,31)),1,0)+IF(AND(Assumptions!B60&lt;&gt;"",IFERROR(DATEVALUE(TEXT(Assumptions!B60,"MM/DD/YYYY")),0)&gt;=DATE(2029,7,1),IFERROR(DATEVALUE(TEXT(Assumptions!B60,"MM/DD/YYYY")),0)&lt;=DATE(2029,7,31)),1,0))&gt;0,0,'Working Capital'!AJ15-'Working Capital'!AI15)</f>
        <v/>
      </c>
      <c r="AK13" s="156">
        <f>IF((IF(AND(Assumptions!B51&lt;&gt;"",IFERROR(DATEVALUE(TEXT(Assumptions!B51,"MM/DD/YYYY")),0)&gt;=DATE(2029,8,1),IFERROR(DATEVALUE(TEXT(Assumptions!B51,"MM/DD/YYYY")),0)&lt;=DATE(2029,8,31)),1,0)+IF(AND(Assumptions!B52&lt;&gt;"",IFERROR(DATEVALUE(TEXT(Assumptions!B52,"MM/DD/YYYY")),0)&gt;=DATE(2029,8,1),IFERROR(DATEVALUE(TEXT(Assumptions!B52,"MM/DD/YYYY")),0)&lt;=DATE(2029,8,31)),1,0)+IF(AND(Assumptions!B53&lt;&gt;"",IFERROR(DATEVALUE(TEXT(Assumptions!B53,"MM/DD/YYYY")),0)&gt;=DATE(2029,8,1),IFERROR(DATEVALUE(TEXT(Assumptions!B53,"MM/DD/YYYY")),0)&lt;=DATE(2029,8,31)),1,0)+IF(AND(Assumptions!B54&lt;&gt;"",IFERROR(DATEVALUE(TEXT(Assumptions!B54,"MM/DD/YYYY")),0)&gt;=DATE(2029,8,1),IFERROR(DATEVALUE(TEXT(Assumptions!B54,"MM/DD/YYYY")),0)&lt;=DATE(2029,8,31)),1,0)+IF(AND(Assumptions!B55&lt;&gt;"",IFERROR(DATEVALUE(TEXT(Assumptions!B55,"MM/DD/YYYY")),0)&gt;=DATE(2029,8,1),IFERROR(DATEVALUE(TEXT(Assumptions!B55,"MM/DD/YYYY")),0)&lt;=DATE(2029,8,31)),1,0)+IF(AND(Assumptions!B56&lt;&gt;"",IFERROR(DATEVALUE(TEXT(Assumptions!B56,"MM/DD/YYYY")),0)&gt;=DATE(2029,8,1),IFERROR(DATEVALUE(TEXT(Assumptions!B56,"MM/DD/YYYY")),0)&lt;=DATE(2029,8,31)),1,0)+IF(AND(Assumptions!B57&lt;&gt;"",IFERROR(DATEVALUE(TEXT(Assumptions!B57,"MM/DD/YYYY")),0)&gt;=DATE(2029,8,1),IFERROR(DATEVALUE(TEXT(Assumptions!B57,"MM/DD/YYYY")),0)&lt;=DATE(2029,8,31)),1,0)+IF(AND(Assumptions!B58&lt;&gt;"",IFERROR(DATEVALUE(TEXT(Assumptions!B58,"MM/DD/YYYY")),0)&gt;=DATE(2029,8,1),IFERROR(DATEVALUE(TEXT(Assumptions!B58,"MM/DD/YYYY")),0)&lt;=DATE(2029,8,31)),1,0)+IF(AND(Assumptions!B59&lt;&gt;"",IFERROR(DATEVALUE(TEXT(Assumptions!B59,"MM/DD/YYYY")),0)&gt;=DATE(2029,8,1),IFERROR(DATEVALUE(TEXT(Assumptions!B59,"MM/DD/YYYY")),0)&lt;=DATE(2029,8,31)),1,0)+IF(AND(Assumptions!B60&lt;&gt;"",IFERROR(DATEVALUE(TEXT(Assumptions!B60,"MM/DD/YYYY")),0)&gt;=DATE(2029,8,1),IFERROR(DATEVALUE(TEXT(Assumptions!B60,"MM/DD/YYYY")),0)&lt;=DATE(2029,8,31)),1,0))&gt;0,0,'Working Capital'!AK15-'Working Capital'!AJ15)</f>
        <v/>
      </c>
      <c r="AL13" s="156">
        <f>IF((IF(AND(Assumptions!B51&lt;&gt;"",IFERROR(DATEVALUE(TEXT(Assumptions!B51,"MM/DD/YYYY")),0)&gt;=DATE(2029,9,1),IFERROR(DATEVALUE(TEXT(Assumptions!B51,"MM/DD/YYYY")),0)&lt;=DATE(2029,9,30)),1,0)+IF(AND(Assumptions!B52&lt;&gt;"",IFERROR(DATEVALUE(TEXT(Assumptions!B52,"MM/DD/YYYY")),0)&gt;=DATE(2029,9,1),IFERROR(DATEVALUE(TEXT(Assumptions!B52,"MM/DD/YYYY")),0)&lt;=DATE(2029,9,30)),1,0)+IF(AND(Assumptions!B53&lt;&gt;"",IFERROR(DATEVALUE(TEXT(Assumptions!B53,"MM/DD/YYYY")),0)&gt;=DATE(2029,9,1),IFERROR(DATEVALUE(TEXT(Assumptions!B53,"MM/DD/YYYY")),0)&lt;=DATE(2029,9,30)),1,0)+IF(AND(Assumptions!B54&lt;&gt;"",IFERROR(DATEVALUE(TEXT(Assumptions!B54,"MM/DD/YYYY")),0)&gt;=DATE(2029,9,1),IFERROR(DATEVALUE(TEXT(Assumptions!B54,"MM/DD/YYYY")),0)&lt;=DATE(2029,9,30)),1,0)+IF(AND(Assumptions!B55&lt;&gt;"",IFERROR(DATEVALUE(TEXT(Assumptions!B55,"MM/DD/YYYY")),0)&gt;=DATE(2029,9,1),IFERROR(DATEVALUE(TEXT(Assumptions!B55,"MM/DD/YYYY")),0)&lt;=DATE(2029,9,30)),1,0)+IF(AND(Assumptions!B56&lt;&gt;"",IFERROR(DATEVALUE(TEXT(Assumptions!B56,"MM/DD/YYYY")),0)&gt;=DATE(2029,9,1),IFERROR(DATEVALUE(TEXT(Assumptions!B56,"MM/DD/YYYY")),0)&lt;=DATE(2029,9,30)),1,0)+IF(AND(Assumptions!B57&lt;&gt;"",IFERROR(DATEVALUE(TEXT(Assumptions!B57,"MM/DD/YYYY")),0)&gt;=DATE(2029,9,1),IFERROR(DATEVALUE(TEXT(Assumptions!B57,"MM/DD/YYYY")),0)&lt;=DATE(2029,9,30)),1,0)+IF(AND(Assumptions!B58&lt;&gt;"",IFERROR(DATEVALUE(TEXT(Assumptions!B58,"MM/DD/YYYY")),0)&gt;=DATE(2029,9,1),IFERROR(DATEVALUE(TEXT(Assumptions!B58,"MM/DD/YYYY")),0)&lt;=DATE(2029,9,30)),1,0)+IF(AND(Assumptions!B59&lt;&gt;"",IFERROR(DATEVALUE(TEXT(Assumptions!B59,"MM/DD/YYYY")),0)&gt;=DATE(2029,9,1),IFERROR(DATEVALUE(TEXT(Assumptions!B59,"MM/DD/YYYY")),0)&lt;=DATE(2029,9,30)),1,0)+IF(AND(Assumptions!B60&lt;&gt;"",IFERROR(DATEVALUE(TEXT(Assumptions!B60,"MM/DD/YYYY")),0)&gt;=DATE(2029,9,1),IFERROR(DATEVALUE(TEXT(Assumptions!B60,"MM/DD/YYYY")),0)&lt;=DATE(2029,9,30)),1,0))&gt;0,0,'Working Capital'!AL15-'Working Capital'!AK15)</f>
        <v/>
      </c>
      <c r="AM13" s="156">
        <f>IF((IF(AND(Assumptions!B51&lt;&gt;"",IFERROR(DATEVALUE(TEXT(Assumptions!B51,"MM/DD/YYYY")),0)&gt;=DATE(2029,10,1),IFERROR(DATEVALUE(TEXT(Assumptions!B51,"MM/DD/YYYY")),0)&lt;=DATE(2029,10,31)),1,0)+IF(AND(Assumptions!B52&lt;&gt;"",IFERROR(DATEVALUE(TEXT(Assumptions!B52,"MM/DD/YYYY")),0)&gt;=DATE(2029,10,1),IFERROR(DATEVALUE(TEXT(Assumptions!B52,"MM/DD/YYYY")),0)&lt;=DATE(2029,10,31)),1,0)+IF(AND(Assumptions!B53&lt;&gt;"",IFERROR(DATEVALUE(TEXT(Assumptions!B53,"MM/DD/YYYY")),0)&gt;=DATE(2029,10,1),IFERROR(DATEVALUE(TEXT(Assumptions!B53,"MM/DD/YYYY")),0)&lt;=DATE(2029,10,31)),1,0)+IF(AND(Assumptions!B54&lt;&gt;"",IFERROR(DATEVALUE(TEXT(Assumptions!B54,"MM/DD/YYYY")),0)&gt;=DATE(2029,10,1),IFERROR(DATEVALUE(TEXT(Assumptions!B54,"MM/DD/YYYY")),0)&lt;=DATE(2029,10,31)),1,0)+IF(AND(Assumptions!B55&lt;&gt;"",IFERROR(DATEVALUE(TEXT(Assumptions!B55,"MM/DD/YYYY")),0)&gt;=DATE(2029,10,1),IFERROR(DATEVALUE(TEXT(Assumptions!B55,"MM/DD/YYYY")),0)&lt;=DATE(2029,10,31)),1,0)+IF(AND(Assumptions!B56&lt;&gt;"",IFERROR(DATEVALUE(TEXT(Assumptions!B56,"MM/DD/YYYY")),0)&gt;=DATE(2029,10,1),IFERROR(DATEVALUE(TEXT(Assumptions!B56,"MM/DD/YYYY")),0)&lt;=DATE(2029,10,31)),1,0)+IF(AND(Assumptions!B57&lt;&gt;"",IFERROR(DATEVALUE(TEXT(Assumptions!B57,"MM/DD/YYYY")),0)&gt;=DATE(2029,10,1),IFERROR(DATEVALUE(TEXT(Assumptions!B57,"MM/DD/YYYY")),0)&lt;=DATE(2029,10,31)),1,0)+IF(AND(Assumptions!B58&lt;&gt;"",IFERROR(DATEVALUE(TEXT(Assumptions!B58,"MM/DD/YYYY")),0)&gt;=DATE(2029,10,1),IFERROR(DATEVALUE(TEXT(Assumptions!B58,"MM/DD/YYYY")),0)&lt;=DATE(2029,10,31)),1,0)+IF(AND(Assumptions!B59&lt;&gt;"",IFERROR(DATEVALUE(TEXT(Assumptions!B59,"MM/DD/YYYY")),0)&gt;=DATE(2029,10,1),IFERROR(DATEVALUE(TEXT(Assumptions!B59,"MM/DD/YYYY")),0)&lt;=DATE(2029,10,31)),1,0)+IF(AND(Assumptions!B60&lt;&gt;"",IFERROR(DATEVALUE(TEXT(Assumptions!B60,"MM/DD/YYYY")),0)&gt;=DATE(2029,10,1),IFERROR(DATEVALUE(TEXT(Assumptions!B60,"MM/DD/YYYY")),0)&lt;=DATE(2029,10,31)),1,0))&gt;0,0,'Working Capital'!AM15-'Working Capital'!AL15)</f>
        <v/>
      </c>
      <c r="AN13" s="156">
        <f>IF((IF(AND(Assumptions!B51&lt;&gt;"",IFERROR(DATEVALUE(TEXT(Assumptions!B51,"MM/DD/YYYY")),0)&gt;=DATE(2029,11,1),IFERROR(DATEVALUE(TEXT(Assumptions!B51,"MM/DD/YYYY")),0)&lt;=DATE(2029,11,30)),1,0)+IF(AND(Assumptions!B52&lt;&gt;"",IFERROR(DATEVALUE(TEXT(Assumptions!B52,"MM/DD/YYYY")),0)&gt;=DATE(2029,11,1),IFERROR(DATEVALUE(TEXT(Assumptions!B52,"MM/DD/YYYY")),0)&lt;=DATE(2029,11,30)),1,0)+IF(AND(Assumptions!B53&lt;&gt;"",IFERROR(DATEVALUE(TEXT(Assumptions!B53,"MM/DD/YYYY")),0)&gt;=DATE(2029,11,1),IFERROR(DATEVALUE(TEXT(Assumptions!B53,"MM/DD/YYYY")),0)&lt;=DATE(2029,11,30)),1,0)+IF(AND(Assumptions!B54&lt;&gt;"",IFERROR(DATEVALUE(TEXT(Assumptions!B54,"MM/DD/YYYY")),0)&gt;=DATE(2029,11,1),IFERROR(DATEVALUE(TEXT(Assumptions!B54,"MM/DD/YYYY")),0)&lt;=DATE(2029,11,30)),1,0)+IF(AND(Assumptions!B55&lt;&gt;"",IFERROR(DATEVALUE(TEXT(Assumptions!B55,"MM/DD/YYYY")),0)&gt;=DATE(2029,11,1),IFERROR(DATEVALUE(TEXT(Assumptions!B55,"MM/DD/YYYY")),0)&lt;=DATE(2029,11,30)),1,0)+IF(AND(Assumptions!B56&lt;&gt;"",IFERROR(DATEVALUE(TEXT(Assumptions!B56,"MM/DD/YYYY")),0)&gt;=DATE(2029,11,1),IFERROR(DATEVALUE(TEXT(Assumptions!B56,"MM/DD/YYYY")),0)&lt;=DATE(2029,11,30)),1,0)+IF(AND(Assumptions!B57&lt;&gt;"",IFERROR(DATEVALUE(TEXT(Assumptions!B57,"MM/DD/YYYY")),0)&gt;=DATE(2029,11,1),IFERROR(DATEVALUE(TEXT(Assumptions!B57,"MM/DD/YYYY")),0)&lt;=DATE(2029,11,30)),1,0)+IF(AND(Assumptions!B58&lt;&gt;"",IFERROR(DATEVALUE(TEXT(Assumptions!B58,"MM/DD/YYYY")),0)&gt;=DATE(2029,11,1),IFERROR(DATEVALUE(TEXT(Assumptions!B58,"MM/DD/YYYY")),0)&lt;=DATE(2029,11,30)),1,0)+IF(AND(Assumptions!B59&lt;&gt;"",IFERROR(DATEVALUE(TEXT(Assumptions!B59,"MM/DD/YYYY")),0)&gt;=DATE(2029,11,1),IFERROR(DATEVALUE(TEXT(Assumptions!B59,"MM/DD/YYYY")),0)&lt;=DATE(2029,11,30)),1,0)+IF(AND(Assumptions!B60&lt;&gt;"",IFERROR(DATEVALUE(TEXT(Assumptions!B60,"MM/DD/YYYY")),0)&gt;=DATE(2029,11,1),IFERROR(DATEVALUE(TEXT(Assumptions!B60,"MM/DD/YYYY")),0)&lt;=DATE(2029,11,30)),1,0))&gt;0,0,'Working Capital'!AN15-'Working Capital'!AM15)</f>
        <v/>
      </c>
      <c r="AO13" s="156">
        <f>IF((IF(AND(Assumptions!B51&lt;&gt;"",IFERROR(DATEVALUE(TEXT(Assumptions!B51,"MM/DD/YYYY")),0)&gt;=DATE(2029,12,1),IFERROR(DATEVALUE(TEXT(Assumptions!B51,"MM/DD/YYYY")),0)&lt;=DATE(2029,12,31)),1,0)+IF(AND(Assumptions!B52&lt;&gt;"",IFERROR(DATEVALUE(TEXT(Assumptions!B52,"MM/DD/YYYY")),0)&gt;=DATE(2029,12,1),IFERROR(DATEVALUE(TEXT(Assumptions!B52,"MM/DD/YYYY")),0)&lt;=DATE(2029,12,31)),1,0)+IF(AND(Assumptions!B53&lt;&gt;"",IFERROR(DATEVALUE(TEXT(Assumptions!B53,"MM/DD/YYYY")),0)&gt;=DATE(2029,12,1),IFERROR(DATEVALUE(TEXT(Assumptions!B53,"MM/DD/YYYY")),0)&lt;=DATE(2029,12,31)),1,0)+IF(AND(Assumptions!B54&lt;&gt;"",IFERROR(DATEVALUE(TEXT(Assumptions!B54,"MM/DD/YYYY")),0)&gt;=DATE(2029,12,1),IFERROR(DATEVALUE(TEXT(Assumptions!B54,"MM/DD/YYYY")),0)&lt;=DATE(2029,12,31)),1,0)+IF(AND(Assumptions!B55&lt;&gt;"",IFERROR(DATEVALUE(TEXT(Assumptions!B55,"MM/DD/YYYY")),0)&gt;=DATE(2029,12,1),IFERROR(DATEVALUE(TEXT(Assumptions!B55,"MM/DD/YYYY")),0)&lt;=DATE(2029,12,31)),1,0)+IF(AND(Assumptions!B56&lt;&gt;"",IFERROR(DATEVALUE(TEXT(Assumptions!B56,"MM/DD/YYYY")),0)&gt;=DATE(2029,12,1),IFERROR(DATEVALUE(TEXT(Assumptions!B56,"MM/DD/YYYY")),0)&lt;=DATE(2029,12,31)),1,0)+IF(AND(Assumptions!B57&lt;&gt;"",IFERROR(DATEVALUE(TEXT(Assumptions!B57,"MM/DD/YYYY")),0)&gt;=DATE(2029,12,1),IFERROR(DATEVALUE(TEXT(Assumptions!B57,"MM/DD/YYYY")),0)&lt;=DATE(2029,12,31)),1,0)+IF(AND(Assumptions!B58&lt;&gt;"",IFERROR(DATEVALUE(TEXT(Assumptions!B58,"MM/DD/YYYY")),0)&gt;=DATE(2029,12,1),IFERROR(DATEVALUE(TEXT(Assumptions!B58,"MM/DD/YYYY")),0)&lt;=DATE(2029,12,31)),1,0)+IF(AND(Assumptions!B59&lt;&gt;"",IFERROR(DATEVALUE(TEXT(Assumptions!B59,"MM/DD/YYYY")),0)&gt;=DATE(2029,12,1),IFERROR(DATEVALUE(TEXT(Assumptions!B59,"MM/DD/YYYY")),0)&lt;=DATE(2029,12,31)),1,0)+IF(AND(Assumptions!B60&lt;&gt;"",IFERROR(DATEVALUE(TEXT(Assumptions!B60,"MM/DD/YYYY")),0)&gt;=DATE(2029,12,1),IFERROR(DATEVALUE(TEXT(Assumptions!B60,"MM/DD/YYYY")),0)&lt;=DATE(2029,12,31)),1,0))&gt;0,0,'Working Capital'!AO15-'Working Capital'!AN15)</f>
        <v/>
      </c>
      <c r="AP13" s="156">
        <f>IF((IF(AND(Assumptions!B51&lt;&gt;"",IFERROR(DATEVALUE(TEXT(Assumptions!B51,"MM/DD/YYYY")),0)&gt;=DATE(2030,1,1),IFERROR(DATEVALUE(TEXT(Assumptions!B51,"MM/DD/YYYY")),0)&lt;=DATE(2030,1,31)),1,0)+IF(AND(Assumptions!B52&lt;&gt;"",IFERROR(DATEVALUE(TEXT(Assumptions!B52,"MM/DD/YYYY")),0)&gt;=DATE(2030,1,1),IFERROR(DATEVALUE(TEXT(Assumptions!B52,"MM/DD/YYYY")),0)&lt;=DATE(2030,1,31)),1,0)+IF(AND(Assumptions!B53&lt;&gt;"",IFERROR(DATEVALUE(TEXT(Assumptions!B53,"MM/DD/YYYY")),0)&gt;=DATE(2030,1,1),IFERROR(DATEVALUE(TEXT(Assumptions!B53,"MM/DD/YYYY")),0)&lt;=DATE(2030,1,31)),1,0)+IF(AND(Assumptions!B54&lt;&gt;"",IFERROR(DATEVALUE(TEXT(Assumptions!B54,"MM/DD/YYYY")),0)&gt;=DATE(2030,1,1),IFERROR(DATEVALUE(TEXT(Assumptions!B54,"MM/DD/YYYY")),0)&lt;=DATE(2030,1,31)),1,0)+IF(AND(Assumptions!B55&lt;&gt;"",IFERROR(DATEVALUE(TEXT(Assumptions!B55,"MM/DD/YYYY")),0)&gt;=DATE(2030,1,1),IFERROR(DATEVALUE(TEXT(Assumptions!B55,"MM/DD/YYYY")),0)&lt;=DATE(2030,1,31)),1,0)+IF(AND(Assumptions!B56&lt;&gt;"",IFERROR(DATEVALUE(TEXT(Assumptions!B56,"MM/DD/YYYY")),0)&gt;=DATE(2030,1,1),IFERROR(DATEVALUE(TEXT(Assumptions!B56,"MM/DD/YYYY")),0)&lt;=DATE(2030,1,31)),1,0)+IF(AND(Assumptions!B57&lt;&gt;"",IFERROR(DATEVALUE(TEXT(Assumptions!B57,"MM/DD/YYYY")),0)&gt;=DATE(2030,1,1),IFERROR(DATEVALUE(TEXT(Assumptions!B57,"MM/DD/YYYY")),0)&lt;=DATE(2030,1,31)),1,0)+IF(AND(Assumptions!B58&lt;&gt;"",IFERROR(DATEVALUE(TEXT(Assumptions!B58,"MM/DD/YYYY")),0)&gt;=DATE(2030,1,1),IFERROR(DATEVALUE(TEXT(Assumptions!B58,"MM/DD/YYYY")),0)&lt;=DATE(2030,1,31)),1,0)+IF(AND(Assumptions!B59&lt;&gt;"",IFERROR(DATEVALUE(TEXT(Assumptions!B59,"MM/DD/YYYY")),0)&gt;=DATE(2030,1,1),IFERROR(DATEVALUE(TEXT(Assumptions!B59,"MM/DD/YYYY")),0)&lt;=DATE(2030,1,31)),1,0)+IF(AND(Assumptions!B60&lt;&gt;"",IFERROR(DATEVALUE(TEXT(Assumptions!B60,"MM/DD/YYYY")),0)&gt;=DATE(2030,1,1),IFERROR(DATEVALUE(TEXT(Assumptions!B60,"MM/DD/YYYY")),0)&lt;=DATE(2030,1,31)),1,0))&gt;0,0,'Working Capital'!AP15-'Working Capital'!AO15)</f>
        <v/>
      </c>
      <c r="AQ13" s="156">
        <f>IF((IF(AND(Assumptions!B51&lt;&gt;"",IFERROR(DATEVALUE(TEXT(Assumptions!B51,"MM/DD/YYYY")),0)&gt;=DATE(2030,2,1),IFERROR(DATEVALUE(TEXT(Assumptions!B51,"MM/DD/YYYY")),0)&lt;=DATE(2030,2,28)),1,0)+IF(AND(Assumptions!B52&lt;&gt;"",IFERROR(DATEVALUE(TEXT(Assumptions!B52,"MM/DD/YYYY")),0)&gt;=DATE(2030,2,1),IFERROR(DATEVALUE(TEXT(Assumptions!B52,"MM/DD/YYYY")),0)&lt;=DATE(2030,2,28)),1,0)+IF(AND(Assumptions!B53&lt;&gt;"",IFERROR(DATEVALUE(TEXT(Assumptions!B53,"MM/DD/YYYY")),0)&gt;=DATE(2030,2,1),IFERROR(DATEVALUE(TEXT(Assumptions!B53,"MM/DD/YYYY")),0)&lt;=DATE(2030,2,28)),1,0)+IF(AND(Assumptions!B54&lt;&gt;"",IFERROR(DATEVALUE(TEXT(Assumptions!B54,"MM/DD/YYYY")),0)&gt;=DATE(2030,2,1),IFERROR(DATEVALUE(TEXT(Assumptions!B54,"MM/DD/YYYY")),0)&lt;=DATE(2030,2,28)),1,0)+IF(AND(Assumptions!B55&lt;&gt;"",IFERROR(DATEVALUE(TEXT(Assumptions!B55,"MM/DD/YYYY")),0)&gt;=DATE(2030,2,1),IFERROR(DATEVALUE(TEXT(Assumptions!B55,"MM/DD/YYYY")),0)&lt;=DATE(2030,2,28)),1,0)+IF(AND(Assumptions!B56&lt;&gt;"",IFERROR(DATEVALUE(TEXT(Assumptions!B56,"MM/DD/YYYY")),0)&gt;=DATE(2030,2,1),IFERROR(DATEVALUE(TEXT(Assumptions!B56,"MM/DD/YYYY")),0)&lt;=DATE(2030,2,28)),1,0)+IF(AND(Assumptions!B57&lt;&gt;"",IFERROR(DATEVALUE(TEXT(Assumptions!B57,"MM/DD/YYYY")),0)&gt;=DATE(2030,2,1),IFERROR(DATEVALUE(TEXT(Assumptions!B57,"MM/DD/YYYY")),0)&lt;=DATE(2030,2,28)),1,0)+IF(AND(Assumptions!B58&lt;&gt;"",IFERROR(DATEVALUE(TEXT(Assumptions!B58,"MM/DD/YYYY")),0)&gt;=DATE(2030,2,1),IFERROR(DATEVALUE(TEXT(Assumptions!B58,"MM/DD/YYYY")),0)&lt;=DATE(2030,2,28)),1,0)+IF(AND(Assumptions!B59&lt;&gt;"",IFERROR(DATEVALUE(TEXT(Assumptions!B59,"MM/DD/YYYY")),0)&gt;=DATE(2030,2,1),IFERROR(DATEVALUE(TEXT(Assumptions!B59,"MM/DD/YYYY")),0)&lt;=DATE(2030,2,28)),1,0)+IF(AND(Assumptions!B60&lt;&gt;"",IFERROR(DATEVALUE(TEXT(Assumptions!B60,"MM/DD/YYYY")),0)&gt;=DATE(2030,2,1),IFERROR(DATEVALUE(TEXT(Assumptions!B60,"MM/DD/YYYY")),0)&lt;=DATE(2030,2,28)),1,0))&gt;0,0,'Working Capital'!AQ15-'Working Capital'!AP15)</f>
        <v/>
      </c>
      <c r="AR13" s="156">
        <f>IF((IF(AND(Assumptions!B51&lt;&gt;"",IFERROR(DATEVALUE(TEXT(Assumptions!B51,"MM/DD/YYYY")),0)&gt;=DATE(2030,3,1),IFERROR(DATEVALUE(TEXT(Assumptions!B51,"MM/DD/YYYY")),0)&lt;=DATE(2030,3,31)),1,0)+IF(AND(Assumptions!B52&lt;&gt;"",IFERROR(DATEVALUE(TEXT(Assumptions!B52,"MM/DD/YYYY")),0)&gt;=DATE(2030,3,1),IFERROR(DATEVALUE(TEXT(Assumptions!B52,"MM/DD/YYYY")),0)&lt;=DATE(2030,3,31)),1,0)+IF(AND(Assumptions!B53&lt;&gt;"",IFERROR(DATEVALUE(TEXT(Assumptions!B53,"MM/DD/YYYY")),0)&gt;=DATE(2030,3,1),IFERROR(DATEVALUE(TEXT(Assumptions!B53,"MM/DD/YYYY")),0)&lt;=DATE(2030,3,31)),1,0)+IF(AND(Assumptions!B54&lt;&gt;"",IFERROR(DATEVALUE(TEXT(Assumptions!B54,"MM/DD/YYYY")),0)&gt;=DATE(2030,3,1),IFERROR(DATEVALUE(TEXT(Assumptions!B54,"MM/DD/YYYY")),0)&lt;=DATE(2030,3,31)),1,0)+IF(AND(Assumptions!B55&lt;&gt;"",IFERROR(DATEVALUE(TEXT(Assumptions!B55,"MM/DD/YYYY")),0)&gt;=DATE(2030,3,1),IFERROR(DATEVALUE(TEXT(Assumptions!B55,"MM/DD/YYYY")),0)&lt;=DATE(2030,3,31)),1,0)+IF(AND(Assumptions!B56&lt;&gt;"",IFERROR(DATEVALUE(TEXT(Assumptions!B56,"MM/DD/YYYY")),0)&gt;=DATE(2030,3,1),IFERROR(DATEVALUE(TEXT(Assumptions!B56,"MM/DD/YYYY")),0)&lt;=DATE(2030,3,31)),1,0)+IF(AND(Assumptions!B57&lt;&gt;"",IFERROR(DATEVALUE(TEXT(Assumptions!B57,"MM/DD/YYYY")),0)&gt;=DATE(2030,3,1),IFERROR(DATEVALUE(TEXT(Assumptions!B57,"MM/DD/YYYY")),0)&lt;=DATE(2030,3,31)),1,0)+IF(AND(Assumptions!B58&lt;&gt;"",IFERROR(DATEVALUE(TEXT(Assumptions!B58,"MM/DD/YYYY")),0)&gt;=DATE(2030,3,1),IFERROR(DATEVALUE(TEXT(Assumptions!B58,"MM/DD/YYYY")),0)&lt;=DATE(2030,3,31)),1,0)+IF(AND(Assumptions!B59&lt;&gt;"",IFERROR(DATEVALUE(TEXT(Assumptions!B59,"MM/DD/YYYY")),0)&gt;=DATE(2030,3,1),IFERROR(DATEVALUE(TEXT(Assumptions!B59,"MM/DD/YYYY")),0)&lt;=DATE(2030,3,31)),1,0)+IF(AND(Assumptions!B60&lt;&gt;"",IFERROR(DATEVALUE(TEXT(Assumptions!B60,"MM/DD/YYYY")),0)&gt;=DATE(2030,3,1),IFERROR(DATEVALUE(TEXT(Assumptions!B60,"MM/DD/YYYY")),0)&lt;=DATE(2030,3,31)),1,0))&gt;0,0,'Working Capital'!AR15-'Working Capital'!AQ15)</f>
        <v/>
      </c>
      <c r="AS13" s="156">
        <f>IF((IF(AND(Assumptions!B51&lt;&gt;"",IFERROR(DATEVALUE(TEXT(Assumptions!B51,"MM/DD/YYYY")),0)&gt;=DATE(2030,4,1),IFERROR(DATEVALUE(TEXT(Assumptions!B51,"MM/DD/YYYY")),0)&lt;=DATE(2030,4,30)),1,0)+IF(AND(Assumptions!B52&lt;&gt;"",IFERROR(DATEVALUE(TEXT(Assumptions!B52,"MM/DD/YYYY")),0)&gt;=DATE(2030,4,1),IFERROR(DATEVALUE(TEXT(Assumptions!B52,"MM/DD/YYYY")),0)&lt;=DATE(2030,4,30)),1,0)+IF(AND(Assumptions!B53&lt;&gt;"",IFERROR(DATEVALUE(TEXT(Assumptions!B53,"MM/DD/YYYY")),0)&gt;=DATE(2030,4,1),IFERROR(DATEVALUE(TEXT(Assumptions!B53,"MM/DD/YYYY")),0)&lt;=DATE(2030,4,30)),1,0)+IF(AND(Assumptions!B54&lt;&gt;"",IFERROR(DATEVALUE(TEXT(Assumptions!B54,"MM/DD/YYYY")),0)&gt;=DATE(2030,4,1),IFERROR(DATEVALUE(TEXT(Assumptions!B54,"MM/DD/YYYY")),0)&lt;=DATE(2030,4,30)),1,0)+IF(AND(Assumptions!B55&lt;&gt;"",IFERROR(DATEVALUE(TEXT(Assumptions!B55,"MM/DD/YYYY")),0)&gt;=DATE(2030,4,1),IFERROR(DATEVALUE(TEXT(Assumptions!B55,"MM/DD/YYYY")),0)&lt;=DATE(2030,4,30)),1,0)+IF(AND(Assumptions!B56&lt;&gt;"",IFERROR(DATEVALUE(TEXT(Assumptions!B56,"MM/DD/YYYY")),0)&gt;=DATE(2030,4,1),IFERROR(DATEVALUE(TEXT(Assumptions!B56,"MM/DD/YYYY")),0)&lt;=DATE(2030,4,30)),1,0)+IF(AND(Assumptions!B57&lt;&gt;"",IFERROR(DATEVALUE(TEXT(Assumptions!B57,"MM/DD/YYYY")),0)&gt;=DATE(2030,4,1),IFERROR(DATEVALUE(TEXT(Assumptions!B57,"MM/DD/YYYY")),0)&lt;=DATE(2030,4,30)),1,0)+IF(AND(Assumptions!B58&lt;&gt;"",IFERROR(DATEVALUE(TEXT(Assumptions!B58,"MM/DD/YYYY")),0)&gt;=DATE(2030,4,1),IFERROR(DATEVALUE(TEXT(Assumptions!B58,"MM/DD/YYYY")),0)&lt;=DATE(2030,4,30)),1,0)+IF(AND(Assumptions!B59&lt;&gt;"",IFERROR(DATEVALUE(TEXT(Assumptions!B59,"MM/DD/YYYY")),0)&gt;=DATE(2030,4,1),IFERROR(DATEVALUE(TEXT(Assumptions!B59,"MM/DD/YYYY")),0)&lt;=DATE(2030,4,30)),1,0)+IF(AND(Assumptions!B60&lt;&gt;"",IFERROR(DATEVALUE(TEXT(Assumptions!B60,"MM/DD/YYYY")),0)&gt;=DATE(2030,4,1),IFERROR(DATEVALUE(TEXT(Assumptions!B60,"MM/DD/YYYY")),0)&lt;=DATE(2030,4,30)),1,0))&gt;0,0,'Working Capital'!AS15-'Working Capital'!AR15)</f>
        <v/>
      </c>
      <c r="AT13" s="156">
        <f>IF((IF(AND(Assumptions!B51&lt;&gt;"",IFERROR(DATEVALUE(TEXT(Assumptions!B51,"MM/DD/YYYY")),0)&gt;=DATE(2030,5,1),IFERROR(DATEVALUE(TEXT(Assumptions!B51,"MM/DD/YYYY")),0)&lt;=DATE(2030,5,31)),1,0)+IF(AND(Assumptions!B52&lt;&gt;"",IFERROR(DATEVALUE(TEXT(Assumptions!B52,"MM/DD/YYYY")),0)&gt;=DATE(2030,5,1),IFERROR(DATEVALUE(TEXT(Assumptions!B52,"MM/DD/YYYY")),0)&lt;=DATE(2030,5,31)),1,0)+IF(AND(Assumptions!B53&lt;&gt;"",IFERROR(DATEVALUE(TEXT(Assumptions!B53,"MM/DD/YYYY")),0)&gt;=DATE(2030,5,1),IFERROR(DATEVALUE(TEXT(Assumptions!B53,"MM/DD/YYYY")),0)&lt;=DATE(2030,5,31)),1,0)+IF(AND(Assumptions!B54&lt;&gt;"",IFERROR(DATEVALUE(TEXT(Assumptions!B54,"MM/DD/YYYY")),0)&gt;=DATE(2030,5,1),IFERROR(DATEVALUE(TEXT(Assumptions!B54,"MM/DD/YYYY")),0)&lt;=DATE(2030,5,31)),1,0)+IF(AND(Assumptions!B55&lt;&gt;"",IFERROR(DATEVALUE(TEXT(Assumptions!B55,"MM/DD/YYYY")),0)&gt;=DATE(2030,5,1),IFERROR(DATEVALUE(TEXT(Assumptions!B55,"MM/DD/YYYY")),0)&lt;=DATE(2030,5,31)),1,0)+IF(AND(Assumptions!B56&lt;&gt;"",IFERROR(DATEVALUE(TEXT(Assumptions!B56,"MM/DD/YYYY")),0)&gt;=DATE(2030,5,1),IFERROR(DATEVALUE(TEXT(Assumptions!B56,"MM/DD/YYYY")),0)&lt;=DATE(2030,5,31)),1,0)+IF(AND(Assumptions!B57&lt;&gt;"",IFERROR(DATEVALUE(TEXT(Assumptions!B57,"MM/DD/YYYY")),0)&gt;=DATE(2030,5,1),IFERROR(DATEVALUE(TEXT(Assumptions!B57,"MM/DD/YYYY")),0)&lt;=DATE(2030,5,31)),1,0)+IF(AND(Assumptions!B58&lt;&gt;"",IFERROR(DATEVALUE(TEXT(Assumptions!B58,"MM/DD/YYYY")),0)&gt;=DATE(2030,5,1),IFERROR(DATEVALUE(TEXT(Assumptions!B58,"MM/DD/YYYY")),0)&lt;=DATE(2030,5,31)),1,0)+IF(AND(Assumptions!B59&lt;&gt;"",IFERROR(DATEVALUE(TEXT(Assumptions!B59,"MM/DD/YYYY")),0)&gt;=DATE(2030,5,1),IFERROR(DATEVALUE(TEXT(Assumptions!B59,"MM/DD/YYYY")),0)&lt;=DATE(2030,5,31)),1,0)+IF(AND(Assumptions!B60&lt;&gt;"",IFERROR(DATEVALUE(TEXT(Assumptions!B60,"MM/DD/YYYY")),0)&gt;=DATE(2030,5,1),IFERROR(DATEVALUE(TEXT(Assumptions!B60,"MM/DD/YYYY")),0)&lt;=DATE(2030,5,31)),1,0))&gt;0,0,'Working Capital'!AT15-'Working Capital'!AS15)</f>
        <v/>
      </c>
      <c r="AU13" s="156">
        <f>IF((IF(AND(Assumptions!B51&lt;&gt;"",IFERROR(DATEVALUE(TEXT(Assumptions!B51,"MM/DD/YYYY")),0)&gt;=DATE(2030,6,1),IFERROR(DATEVALUE(TEXT(Assumptions!B51,"MM/DD/YYYY")),0)&lt;=DATE(2030,6,30)),1,0)+IF(AND(Assumptions!B52&lt;&gt;"",IFERROR(DATEVALUE(TEXT(Assumptions!B52,"MM/DD/YYYY")),0)&gt;=DATE(2030,6,1),IFERROR(DATEVALUE(TEXT(Assumptions!B52,"MM/DD/YYYY")),0)&lt;=DATE(2030,6,30)),1,0)+IF(AND(Assumptions!B53&lt;&gt;"",IFERROR(DATEVALUE(TEXT(Assumptions!B53,"MM/DD/YYYY")),0)&gt;=DATE(2030,6,1),IFERROR(DATEVALUE(TEXT(Assumptions!B53,"MM/DD/YYYY")),0)&lt;=DATE(2030,6,30)),1,0)+IF(AND(Assumptions!B54&lt;&gt;"",IFERROR(DATEVALUE(TEXT(Assumptions!B54,"MM/DD/YYYY")),0)&gt;=DATE(2030,6,1),IFERROR(DATEVALUE(TEXT(Assumptions!B54,"MM/DD/YYYY")),0)&lt;=DATE(2030,6,30)),1,0)+IF(AND(Assumptions!B55&lt;&gt;"",IFERROR(DATEVALUE(TEXT(Assumptions!B55,"MM/DD/YYYY")),0)&gt;=DATE(2030,6,1),IFERROR(DATEVALUE(TEXT(Assumptions!B55,"MM/DD/YYYY")),0)&lt;=DATE(2030,6,30)),1,0)+IF(AND(Assumptions!B56&lt;&gt;"",IFERROR(DATEVALUE(TEXT(Assumptions!B56,"MM/DD/YYYY")),0)&gt;=DATE(2030,6,1),IFERROR(DATEVALUE(TEXT(Assumptions!B56,"MM/DD/YYYY")),0)&lt;=DATE(2030,6,30)),1,0)+IF(AND(Assumptions!B57&lt;&gt;"",IFERROR(DATEVALUE(TEXT(Assumptions!B57,"MM/DD/YYYY")),0)&gt;=DATE(2030,6,1),IFERROR(DATEVALUE(TEXT(Assumptions!B57,"MM/DD/YYYY")),0)&lt;=DATE(2030,6,30)),1,0)+IF(AND(Assumptions!B58&lt;&gt;"",IFERROR(DATEVALUE(TEXT(Assumptions!B58,"MM/DD/YYYY")),0)&gt;=DATE(2030,6,1),IFERROR(DATEVALUE(TEXT(Assumptions!B58,"MM/DD/YYYY")),0)&lt;=DATE(2030,6,30)),1,0)+IF(AND(Assumptions!B59&lt;&gt;"",IFERROR(DATEVALUE(TEXT(Assumptions!B59,"MM/DD/YYYY")),0)&gt;=DATE(2030,6,1),IFERROR(DATEVALUE(TEXT(Assumptions!B59,"MM/DD/YYYY")),0)&lt;=DATE(2030,6,30)),1,0)+IF(AND(Assumptions!B60&lt;&gt;"",IFERROR(DATEVALUE(TEXT(Assumptions!B60,"MM/DD/YYYY")),0)&gt;=DATE(2030,6,1),IFERROR(DATEVALUE(TEXT(Assumptions!B60,"MM/DD/YYYY")),0)&lt;=DATE(2030,6,30)),1,0))&gt;0,0,'Working Capital'!AU15-'Working Capital'!AT15)</f>
        <v/>
      </c>
      <c r="AV13" s="156">
        <f>IF((IF(AND(Assumptions!B51&lt;&gt;"",IFERROR(DATEVALUE(TEXT(Assumptions!B51,"MM/DD/YYYY")),0)&gt;=DATE(2030,7,1),IFERROR(DATEVALUE(TEXT(Assumptions!B51,"MM/DD/YYYY")),0)&lt;=DATE(2030,7,31)),1,0)+IF(AND(Assumptions!B52&lt;&gt;"",IFERROR(DATEVALUE(TEXT(Assumptions!B52,"MM/DD/YYYY")),0)&gt;=DATE(2030,7,1),IFERROR(DATEVALUE(TEXT(Assumptions!B52,"MM/DD/YYYY")),0)&lt;=DATE(2030,7,31)),1,0)+IF(AND(Assumptions!B53&lt;&gt;"",IFERROR(DATEVALUE(TEXT(Assumptions!B53,"MM/DD/YYYY")),0)&gt;=DATE(2030,7,1),IFERROR(DATEVALUE(TEXT(Assumptions!B53,"MM/DD/YYYY")),0)&lt;=DATE(2030,7,31)),1,0)+IF(AND(Assumptions!B54&lt;&gt;"",IFERROR(DATEVALUE(TEXT(Assumptions!B54,"MM/DD/YYYY")),0)&gt;=DATE(2030,7,1),IFERROR(DATEVALUE(TEXT(Assumptions!B54,"MM/DD/YYYY")),0)&lt;=DATE(2030,7,31)),1,0)+IF(AND(Assumptions!B55&lt;&gt;"",IFERROR(DATEVALUE(TEXT(Assumptions!B55,"MM/DD/YYYY")),0)&gt;=DATE(2030,7,1),IFERROR(DATEVALUE(TEXT(Assumptions!B55,"MM/DD/YYYY")),0)&lt;=DATE(2030,7,31)),1,0)+IF(AND(Assumptions!B56&lt;&gt;"",IFERROR(DATEVALUE(TEXT(Assumptions!B56,"MM/DD/YYYY")),0)&gt;=DATE(2030,7,1),IFERROR(DATEVALUE(TEXT(Assumptions!B56,"MM/DD/YYYY")),0)&lt;=DATE(2030,7,31)),1,0)+IF(AND(Assumptions!B57&lt;&gt;"",IFERROR(DATEVALUE(TEXT(Assumptions!B57,"MM/DD/YYYY")),0)&gt;=DATE(2030,7,1),IFERROR(DATEVALUE(TEXT(Assumptions!B57,"MM/DD/YYYY")),0)&lt;=DATE(2030,7,31)),1,0)+IF(AND(Assumptions!B58&lt;&gt;"",IFERROR(DATEVALUE(TEXT(Assumptions!B58,"MM/DD/YYYY")),0)&gt;=DATE(2030,7,1),IFERROR(DATEVALUE(TEXT(Assumptions!B58,"MM/DD/YYYY")),0)&lt;=DATE(2030,7,31)),1,0)+IF(AND(Assumptions!B59&lt;&gt;"",IFERROR(DATEVALUE(TEXT(Assumptions!B59,"MM/DD/YYYY")),0)&gt;=DATE(2030,7,1),IFERROR(DATEVALUE(TEXT(Assumptions!B59,"MM/DD/YYYY")),0)&lt;=DATE(2030,7,31)),1,0)+IF(AND(Assumptions!B60&lt;&gt;"",IFERROR(DATEVALUE(TEXT(Assumptions!B60,"MM/DD/YYYY")),0)&gt;=DATE(2030,7,1),IFERROR(DATEVALUE(TEXT(Assumptions!B60,"MM/DD/YYYY")),0)&lt;=DATE(2030,7,31)),1,0))&gt;0,0,'Working Capital'!AV15-'Working Capital'!AU15)</f>
        <v/>
      </c>
      <c r="AW13" s="156">
        <f>IF((IF(AND(Assumptions!B51&lt;&gt;"",IFERROR(DATEVALUE(TEXT(Assumptions!B51,"MM/DD/YYYY")),0)&gt;=DATE(2030,8,1),IFERROR(DATEVALUE(TEXT(Assumptions!B51,"MM/DD/YYYY")),0)&lt;=DATE(2030,8,31)),1,0)+IF(AND(Assumptions!B52&lt;&gt;"",IFERROR(DATEVALUE(TEXT(Assumptions!B52,"MM/DD/YYYY")),0)&gt;=DATE(2030,8,1),IFERROR(DATEVALUE(TEXT(Assumptions!B52,"MM/DD/YYYY")),0)&lt;=DATE(2030,8,31)),1,0)+IF(AND(Assumptions!B53&lt;&gt;"",IFERROR(DATEVALUE(TEXT(Assumptions!B53,"MM/DD/YYYY")),0)&gt;=DATE(2030,8,1),IFERROR(DATEVALUE(TEXT(Assumptions!B53,"MM/DD/YYYY")),0)&lt;=DATE(2030,8,31)),1,0)+IF(AND(Assumptions!B54&lt;&gt;"",IFERROR(DATEVALUE(TEXT(Assumptions!B54,"MM/DD/YYYY")),0)&gt;=DATE(2030,8,1),IFERROR(DATEVALUE(TEXT(Assumptions!B54,"MM/DD/YYYY")),0)&lt;=DATE(2030,8,31)),1,0)+IF(AND(Assumptions!B55&lt;&gt;"",IFERROR(DATEVALUE(TEXT(Assumptions!B55,"MM/DD/YYYY")),0)&gt;=DATE(2030,8,1),IFERROR(DATEVALUE(TEXT(Assumptions!B55,"MM/DD/YYYY")),0)&lt;=DATE(2030,8,31)),1,0)+IF(AND(Assumptions!B56&lt;&gt;"",IFERROR(DATEVALUE(TEXT(Assumptions!B56,"MM/DD/YYYY")),0)&gt;=DATE(2030,8,1),IFERROR(DATEVALUE(TEXT(Assumptions!B56,"MM/DD/YYYY")),0)&lt;=DATE(2030,8,31)),1,0)+IF(AND(Assumptions!B57&lt;&gt;"",IFERROR(DATEVALUE(TEXT(Assumptions!B57,"MM/DD/YYYY")),0)&gt;=DATE(2030,8,1),IFERROR(DATEVALUE(TEXT(Assumptions!B57,"MM/DD/YYYY")),0)&lt;=DATE(2030,8,31)),1,0)+IF(AND(Assumptions!B58&lt;&gt;"",IFERROR(DATEVALUE(TEXT(Assumptions!B58,"MM/DD/YYYY")),0)&gt;=DATE(2030,8,1),IFERROR(DATEVALUE(TEXT(Assumptions!B58,"MM/DD/YYYY")),0)&lt;=DATE(2030,8,31)),1,0)+IF(AND(Assumptions!B59&lt;&gt;"",IFERROR(DATEVALUE(TEXT(Assumptions!B59,"MM/DD/YYYY")),0)&gt;=DATE(2030,8,1),IFERROR(DATEVALUE(TEXT(Assumptions!B59,"MM/DD/YYYY")),0)&lt;=DATE(2030,8,31)),1,0)+IF(AND(Assumptions!B60&lt;&gt;"",IFERROR(DATEVALUE(TEXT(Assumptions!B60,"MM/DD/YYYY")),0)&gt;=DATE(2030,8,1),IFERROR(DATEVALUE(TEXT(Assumptions!B60,"MM/DD/YYYY")),0)&lt;=DATE(2030,8,31)),1,0))&gt;0,0,'Working Capital'!AW15-'Working Capital'!AV15)</f>
        <v/>
      </c>
      <c r="AX13" s="156">
        <f>IF((IF(AND(Assumptions!B51&lt;&gt;"",IFERROR(DATEVALUE(TEXT(Assumptions!B51,"MM/DD/YYYY")),0)&gt;=DATE(2030,9,1),IFERROR(DATEVALUE(TEXT(Assumptions!B51,"MM/DD/YYYY")),0)&lt;=DATE(2030,9,30)),1,0)+IF(AND(Assumptions!B52&lt;&gt;"",IFERROR(DATEVALUE(TEXT(Assumptions!B52,"MM/DD/YYYY")),0)&gt;=DATE(2030,9,1),IFERROR(DATEVALUE(TEXT(Assumptions!B52,"MM/DD/YYYY")),0)&lt;=DATE(2030,9,30)),1,0)+IF(AND(Assumptions!B53&lt;&gt;"",IFERROR(DATEVALUE(TEXT(Assumptions!B53,"MM/DD/YYYY")),0)&gt;=DATE(2030,9,1),IFERROR(DATEVALUE(TEXT(Assumptions!B53,"MM/DD/YYYY")),0)&lt;=DATE(2030,9,30)),1,0)+IF(AND(Assumptions!B54&lt;&gt;"",IFERROR(DATEVALUE(TEXT(Assumptions!B54,"MM/DD/YYYY")),0)&gt;=DATE(2030,9,1),IFERROR(DATEVALUE(TEXT(Assumptions!B54,"MM/DD/YYYY")),0)&lt;=DATE(2030,9,30)),1,0)+IF(AND(Assumptions!B55&lt;&gt;"",IFERROR(DATEVALUE(TEXT(Assumptions!B55,"MM/DD/YYYY")),0)&gt;=DATE(2030,9,1),IFERROR(DATEVALUE(TEXT(Assumptions!B55,"MM/DD/YYYY")),0)&lt;=DATE(2030,9,30)),1,0)+IF(AND(Assumptions!B56&lt;&gt;"",IFERROR(DATEVALUE(TEXT(Assumptions!B56,"MM/DD/YYYY")),0)&gt;=DATE(2030,9,1),IFERROR(DATEVALUE(TEXT(Assumptions!B56,"MM/DD/YYYY")),0)&lt;=DATE(2030,9,30)),1,0)+IF(AND(Assumptions!B57&lt;&gt;"",IFERROR(DATEVALUE(TEXT(Assumptions!B57,"MM/DD/YYYY")),0)&gt;=DATE(2030,9,1),IFERROR(DATEVALUE(TEXT(Assumptions!B57,"MM/DD/YYYY")),0)&lt;=DATE(2030,9,30)),1,0)+IF(AND(Assumptions!B58&lt;&gt;"",IFERROR(DATEVALUE(TEXT(Assumptions!B58,"MM/DD/YYYY")),0)&gt;=DATE(2030,9,1),IFERROR(DATEVALUE(TEXT(Assumptions!B58,"MM/DD/YYYY")),0)&lt;=DATE(2030,9,30)),1,0)+IF(AND(Assumptions!B59&lt;&gt;"",IFERROR(DATEVALUE(TEXT(Assumptions!B59,"MM/DD/YYYY")),0)&gt;=DATE(2030,9,1),IFERROR(DATEVALUE(TEXT(Assumptions!B59,"MM/DD/YYYY")),0)&lt;=DATE(2030,9,30)),1,0)+IF(AND(Assumptions!B60&lt;&gt;"",IFERROR(DATEVALUE(TEXT(Assumptions!B60,"MM/DD/YYYY")),0)&gt;=DATE(2030,9,1),IFERROR(DATEVALUE(TEXT(Assumptions!B60,"MM/DD/YYYY")),0)&lt;=DATE(2030,9,30)),1,0))&gt;0,0,'Working Capital'!AX15-'Working Capital'!AW15)</f>
        <v/>
      </c>
      <c r="AY13" s="156">
        <f>IF((IF(AND(Assumptions!B51&lt;&gt;"",IFERROR(DATEVALUE(TEXT(Assumptions!B51,"MM/DD/YYYY")),0)&gt;=DATE(2030,10,1),IFERROR(DATEVALUE(TEXT(Assumptions!B51,"MM/DD/YYYY")),0)&lt;=DATE(2030,10,31)),1,0)+IF(AND(Assumptions!B52&lt;&gt;"",IFERROR(DATEVALUE(TEXT(Assumptions!B52,"MM/DD/YYYY")),0)&gt;=DATE(2030,10,1),IFERROR(DATEVALUE(TEXT(Assumptions!B52,"MM/DD/YYYY")),0)&lt;=DATE(2030,10,31)),1,0)+IF(AND(Assumptions!B53&lt;&gt;"",IFERROR(DATEVALUE(TEXT(Assumptions!B53,"MM/DD/YYYY")),0)&gt;=DATE(2030,10,1),IFERROR(DATEVALUE(TEXT(Assumptions!B53,"MM/DD/YYYY")),0)&lt;=DATE(2030,10,31)),1,0)+IF(AND(Assumptions!B54&lt;&gt;"",IFERROR(DATEVALUE(TEXT(Assumptions!B54,"MM/DD/YYYY")),0)&gt;=DATE(2030,10,1),IFERROR(DATEVALUE(TEXT(Assumptions!B54,"MM/DD/YYYY")),0)&lt;=DATE(2030,10,31)),1,0)+IF(AND(Assumptions!B55&lt;&gt;"",IFERROR(DATEVALUE(TEXT(Assumptions!B55,"MM/DD/YYYY")),0)&gt;=DATE(2030,10,1),IFERROR(DATEVALUE(TEXT(Assumptions!B55,"MM/DD/YYYY")),0)&lt;=DATE(2030,10,31)),1,0)+IF(AND(Assumptions!B56&lt;&gt;"",IFERROR(DATEVALUE(TEXT(Assumptions!B56,"MM/DD/YYYY")),0)&gt;=DATE(2030,10,1),IFERROR(DATEVALUE(TEXT(Assumptions!B56,"MM/DD/YYYY")),0)&lt;=DATE(2030,10,31)),1,0)+IF(AND(Assumptions!B57&lt;&gt;"",IFERROR(DATEVALUE(TEXT(Assumptions!B57,"MM/DD/YYYY")),0)&gt;=DATE(2030,10,1),IFERROR(DATEVALUE(TEXT(Assumptions!B57,"MM/DD/YYYY")),0)&lt;=DATE(2030,10,31)),1,0)+IF(AND(Assumptions!B58&lt;&gt;"",IFERROR(DATEVALUE(TEXT(Assumptions!B58,"MM/DD/YYYY")),0)&gt;=DATE(2030,10,1),IFERROR(DATEVALUE(TEXT(Assumptions!B58,"MM/DD/YYYY")),0)&lt;=DATE(2030,10,31)),1,0)+IF(AND(Assumptions!B59&lt;&gt;"",IFERROR(DATEVALUE(TEXT(Assumptions!B59,"MM/DD/YYYY")),0)&gt;=DATE(2030,10,1),IFERROR(DATEVALUE(TEXT(Assumptions!B59,"MM/DD/YYYY")),0)&lt;=DATE(2030,10,31)),1,0)+IF(AND(Assumptions!B60&lt;&gt;"",IFERROR(DATEVALUE(TEXT(Assumptions!B60,"MM/DD/YYYY")),0)&gt;=DATE(2030,10,1),IFERROR(DATEVALUE(TEXT(Assumptions!B60,"MM/DD/YYYY")),0)&lt;=DATE(2030,10,31)),1,0))&gt;0,0,'Working Capital'!AY15-'Working Capital'!AX15)</f>
        <v/>
      </c>
      <c r="AZ13" s="156">
        <f>IF((IF(AND(Assumptions!B51&lt;&gt;"",IFERROR(DATEVALUE(TEXT(Assumptions!B51,"MM/DD/YYYY")),0)&gt;=DATE(2030,11,1),IFERROR(DATEVALUE(TEXT(Assumptions!B51,"MM/DD/YYYY")),0)&lt;=DATE(2030,11,30)),1,0)+IF(AND(Assumptions!B52&lt;&gt;"",IFERROR(DATEVALUE(TEXT(Assumptions!B52,"MM/DD/YYYY")),0)&gt;=DATE(2030,11,1),IFERROR(DATEVALUE(TEXT(Assumptions!B52,"MM/DD/YYYY")),0)&lt;=DATE(2030,11,30)),1,0)+IF(AND(Assumptions!B53&lt;&gt;"",IFERROR(DATEVALUE(TEXT(Assumptions!B53,"MM/DD/YYYY")),0)&gt;=DATE(2030,11,1),IFERROR(DATEVALUE(TEXT(Assumptions!B53,"MM/DD/YYYY")),0)&lt;=DATE(2030,11,30)),1,0)+IF(AND(Assumptions!B54&lt;&gt;"",IFERROR(DATEVALUE(TEXT(Assumptions!B54,"MM/DD/YYYY")),0)&gt;=DATE(2030,11,1),IFERROR(DATEVALUE(TEXT(Assumptions!B54,"MM/DD/YYYY")),0)&lt;=DATE(2030,11,30)),1,0)+IF(AND(Assumptions!B55&lt;&gt;"",IFERROR(DATEVALUE(TEXT(Assumptions!B55,"MM/DD/YYYY")),0)&gt;=DATE(2030,11,1),IFERROR(DATEVALUE(TEXT(Assumptions!B55,"MM/DD/YYYY")),0)&lt;=DATE(2030,11,30)),1,0)+IF(AND(Assumptions!B56&lt;&gt;"",IFERROR(DATEVALUE(TEXT(Assumptions!B56,"MM/DD/YYYY")),0)&gt;=DATE(2030,11,1),IFERROR(DATEVALUE(TEXT(Assumptions!B56,"MM/DD/YYYY")),0)&lt;=DATE(2030,11,30)),1,0)+IF(AND(Assumptions!B57&lt;&gt;"",IFERROR(DATEVALUE(TEXT(Assumptions!B57,"MM/DD/YYYY")),0)&gt;=DATE(2030,11,1),IFERROR(DATEVALUE(TEXT(Assumptions!B57,"MM/DD/YYYY")),0)&lt;=DATE(2030,11,30)),1,0)+IF(AND(Assumptions!B58&lt;&gt;"",IFERROR(DATEVALUE(TEXT(Assumptions!B58,"MM/DD/YYYY")),0)&gt;=DATE(2030,11,1),IFERROR(DATEVALUE(TEXT(Assumptions!B58,"MM/DD/YYYY")),0)&lt;=DATE(2030,11,30)),1,0)+IF(AND(Assumptions!B59&lt;&gt;"",IFERROR(DATEVALUE(TEXT(Assumptions!B59,"MM/DD/YYYY")),0)&gt;=DATE(2030,11,1),IFERROR(DATEVALUE(TEXT(Assumptions!B59,"MM/DD/YYYY")),0)&lt;=DATE(2030,11,30)),1,0)+IF(AND(Assumptions!B60&lt;&gt;"",IFERROR(DATEVALUE(TEXT(Assumptions!B60,"MM/DD/YYYY")),0)&gt;=DATE(2030,11,1),IFERROR(DATEVALUE(TEXT(Assumptions!B60,"MM/DD/YYYY")),0)&lt;=DATE(2030,11,30)),1,0))&gt;0,0,'Working Capital'!AZ15-'Working Capital'!AY15)</f>
        <v/>
      </c>
      <c r="BA13" s="156">
        <f>IF((IF(AND(Assumptions!B51&lt;&gt;"",IFERROR(DATEVALUE(TEXT(Assumptions!B51,"MM/DD/YYYY")),0)&gt;=DATE(2030,12,1),IFERROR(DATEVALUE(TEXT(Assumptions!B51,"MM/DD/YYYY")),0)&lt;=DATE(2030,12,31)),1,0)+IF(AND(Assumptions!B52&lt;&gt;"",IFERROR(DATEVALUE(TEXT(Assumptions!B52,"MM/DD/YYYY")),0)&gt;=DATE(2030,12,1),IFERROR(DATEVALUE(TEXT(Assumptions!B52,"MM/DD/YYYY")),0)&lt;=DATE(2030,12,31)),1,0)+IF(AND(Assumptions!B53&lt;&gt;"",IFERROR(DATEVALUE(TEXT(Assumptions!B53,"MM/DD/YYYY")),0)&gt;=DATE(2030,12,1),IFERROR(DATEVALUE(TEXT(Assumptions!B53,"MM/DD/YYYY")),0)&lt;=DATE(2030,12,31)),1,0)+IF(AND(Assumptions!B54&lt;&gt;"",IFERROR(DATEVALUE(TEXT(Assumptions!B54,"MM/DD/YYYY")),0)&gt;=DATE(2030,12,1),IFERROR(DATEVALUE(TEXT(Assumptions!B54,"MM/DD/YYYY")),0)&lt;=DATE(2030,12,31)),1,0)+IF(AND(Assumptions!B55&lt;&gt;"",IFERROR(DATEVALUE(TEXT(Assumptions!B55,"MM/DD/YYYY")),0)&gt;=DATE(2030,12,1),IFERROR(DATEVALUE(TEXT(Assumptions!B55,"MM/DD/YYYY")),0)&lt;=DATE(2030,12,31)),1,0)+IF(AND(Assumptions!B56&lt;&gt;"",IFERROR(DATEVALUE(TEXT(Assumptions!B56,"MM/DD/YYYY")),0)&gt;=DATE(2030,12,1),IFERROR(DATEVALUE(TEXT(Assumptions!B56,"MM/DD/YYYY")),0)&lt;=DATE(2030,12,31)),1,0)+IF(AND(Assumptions!B57&lt;&gt;"",IFERROR(DATEVALUE(TEXT(Assumptions!B57,"MM/DD/YYYY")),0)&gt;=DATE(2030,12,1),IFERROR(DATEVALUE(TEXT(Assumptions!B57,"MM/DD/YYYY")),0)&lt;=DATE(2030,12,31)),1,0)+IF(AND(Assumptions!B58&lt;&gt;"",IFERROR(DATEVALUE(TEXT(Assumptions!B58,"MM/DD/YYYY")),0)&gt;=DATE(2030,12,1),IFERROR(DATEVALUE(TEXT(Assumptions!B58,"MM/DD/YYYY")),0)&lt;=DATE(2030,12,31)),1,0)+IF(AND(Assumptions!B59&lt;&gt;"",IFERROR(DATEVALUE(TEXT(Assumptions!B59,"MM/DD/YYYY")),0)&gt;=DATE(2030,12,1),IFERROR(DATEVALUE(TEXT(Assumptions!B59,"MM/DD/YYYY")),0)&lt;=DATE(2030,12,31)),1,0)+IF(AND(Assumptions!B60&lt;&gt;"",IFERROR(DATEVALUE(TEXT(Assumptions!B60,"MM/DD/YYYY")),0)&gt;=DATE(2030,12,1),IFERROR(DATEVALUE(TEXT(Assumptions!B60,"MM/DD/YYYY")),0)&lt;=DATE(2030,12,31)),1,0))&gt;0,0,'Working Capital'!BA15-'Working Capital'!AZ15)</f>
        <v/>
      </c>
      <c r="BB13" s="156">
        <f>IF((IF(AND(Assumptions!B51&lt;&gt;"",IFERROR(DATEVALUE(TEXT(Assumptions!B51,"MM/DD/YYYY")),0)&gt;=DATE(2031,1,1),IFERROR(DATEVALUE(TEXT(Assumptions!B51,"MM/DD/YYYY")),0)&lt;=DATE(2031,1,31)),1,0)+IF(AND(Assumptions!B52&lt;&gt;"",IFERROR(DATEVALUE(TEXT(Assumptions!B52,"MM/DD/YYYY")),0)&gt;=DATE(2031,1,1),IFERROR(DATEVALUE(TEXT(Assumptions!B52,"MM/DD/YYYY")),0)&lt;=DATE(2031,1,31)),1,0)+IF(AND(Assumptions!B53&lt;&gt;"",IFERROR(DATEVALUE(TEXT(Assumptions!B53,"MM/DD/YYYY")),0)&gt;=DATE(2031,1,1),IFERROR(DATEVALUE(TEXT(Assumptions!B53,"MM/DD/YYYY")),0)&lt;=DATE(2031,1,31)),1,0)+IF(AND(Assumptions!B54&lt;&gt;"",IFERROR(DATEVALUE(TEXT(Assumptions!B54,"MM/DD/YYYY")),0)&gt;=DATE(2031,1,1),IFERROR(DATEVALUE(TEXT(Assumptions!B54,"MM/DD/YYYY")),0)&lt;=DATE(2031,1,31)),1,0)+IF(AND(Assumptions!B55&lt;&gt;"",IFERROR(DATEVALUE(TEXT(Assumptions!B55,"MM/DD/YYYY")),0)&gt;=DATE(2031,1,1),IFERROR(DATEVALUE(TEXT(Assumptions!B55,"MM/DD/YYYY")),0)&lt;=DATE(2031,1,31)),1,0)+IF(AND(Assumptions!B56&lt;&gt;"",IFERROR(DATEVALUE(TEXT(Assumptions!B56,"MM/DD/YYYY")),0)&gt;=DATE(2031,1,1),IFERROR(DATEVALUE(TEXT(Assumptions!B56,"MM/DD/YYYY")),0)&lt;=DATE(2031,1,31)),1,0)+IF(AND(Assumptions!B57&lt;&gt;"",IFERROR(DATEVALUE(TEXT(Assumptions!B57,"MM/DD/YYYY")),0)&gt;=DATE(2031,1,1),IFERROR(DATEVALUE(TEXT(Assumptions!B57,"MM/DD/YYYY")),0)&lt;=DATE(2031,1,31)),1,0)+IF(AND(Assumptions!B58&lt;&gt;"",IFERROR(DATEVALUE(TEXT(Assumptions!B58,"MM/DD/YYYY")),0)&gt;=DATE(2031,1,1),IFERROR(DATEVALUE(TEXT(Assumptions!B58,"MM/DD/YYYY")),0)&lt;=DATE(2031,1,31)),1,0)+IF(AND(Assumptions!B59&lt;&gt;"",IFERROR(DATEVALUE(TEXT(Assumptions!B59,"MM/DD/YYYY")),0)&gt;=DATE(2031,1,1),IFERROR(DATEVALUE(TEXT(Assumptions!B59,"MM/DD/YYYY")),0)&lt;=DATE(2031,1,31)),1,0)+IF(AND(Assumptions!B60&lt;&gt;"",IFERROR(DATEVALUE(TEXT(Assumptions!B60,"MM/DD/YYYY")),0)&gt;=DATE(2031,1,1),IFERROR(DATEVALUE(TEXT(Assumptions!B60,"MM/DD/YYYY")),0)&lt;=DATE(2031,1,31)),1,0))&gt;0,0,'Working Capital'!BB15-'Working Capital'!BA15)</f>
        <v/>
      </c>
      <c r="BC13" s="156">
        <f>IF((IF(AND(Assumptions!B51&lt;&gt;"",IFERROR(DATEVALUE(TEXT(Assumptions!B51,"MM/DD/YYYY")),0)&gt;=DATE(2031,2,1),IFERROR(DATEVALUE(TEXT(Assumptions!B51,"MM/DD/YYYY")),0)&lt;=DATE(2031,2,28)),1,0)+IF(AND(Assumptions!B52&lt;&gt;"",IFERROR(DATEVALUE(TEXT(Assumptions!B52,"MM/DD/YYYY")),0)&gt;=DATE(2031,2,1),IFERROR(DATEVALUE(TEXT(Assumptions!B52,"MM/DD/YYYY")),0)&lt;=DATE(2031,2,28)),1,0)+IF(AND(Assumptions!B53&lt;&gt;"",IFERROR(DATEVALUE(TEXT(Assumptions!B53,"MM/DD/YYYY")),0)&gt;=DATE(2031,2,1),IFERROR(DATEVALUE(TEXT(Assumptions!B53,"MM/DD/YYYY")),0)&lt;=DATE(2031,2,28)),1,0)+IF(AND(Assumptions!B54&lt;&gt;"",IFERROR(DATEVALUE(TEXT(Assumptions!B54,"MM/DD/YYYY")),0)&gt;=DATE(2031,2,1),IFERROR(DATEVALUE(TEXT(Assumptions!B54,"MM/DD/YYYY")),0)&lt;=DATE(2031,2,28)),1,0)+IF(AND(Assumptions!B55&lt;&gt;"",IFERROR(DATEVALUE(TEXT(Assumptions!B55,"MM/DD/YYYY")),0)&gt;=DATE(2031,2,1),IFERROR(DATEVALUE(TEXT(Assumptions!B55,"MM/DD/YYYY")),0)&lt;=DATE(2031,2,28)),1,0)+IF(AND(Assumptions!B56&lt;&gt;"",IFERROR(DATEVALUE(TEXT(Assumptions!B56,"MM/DD/YYYY")),0)&gt;=DATE(2031,2,1),IFERROR(DATEVALUE(TEXT(Assumptions!B56,"MM/DD/YYYY")),0)&lt;=DATE(2031,2,28)),1,0)+IF(AND(Assumptions!B57&lt;&gt;"",IFERROR(DATEVALUE(TEXT(Assumptions!B57,"MM/DD/YYYY")),0)&gt;=DATE(2031,2,1),IFERROR(DATEVALUE(TEXT(Assumptions!B57,"MM/DD/YYYY")),0)&lt;=DATE(2031,2,28)),1,0)+IF(AND(Assumptions!B58&lt;&gt;"",IFERROR(DATEVALUE(TEXT(Assumptions!B58,"MM/DD/YYYY")),0)&gt;=DATE(2031,2,1),IFERROR(DATEVALUE(TEXT(Assumptions!B58,"MM/DD/YYYY")),0)&lt;=DATE(2031,2,28)),1,0)+IF(AND(Assumptions!B59&lt;&gt;"",IFERROR(DATEVALUE(TEXT(Assumptions!B59,"MM/DD/YYYY")),0)&gt;=DATE(2031,2,1),IFERROR(DATEVALUE(TEXT(Assumptions!B59,"MM/DD/YYYY")),0)&lt;=DATE(2031,2,28)),1,0)+IF(AND(Assumptions!B60&lt;&gt;"",IFERROR(DATEVALUE(TEXT(Assumptions!B60,"MM/DD/YYYY")),0)&gt;=DATE(2031,2,1),IFERROR(DATEVALUE(TEXT(Assumptions!B60,"MM/DD/YYYY")),0)&lt;=DATE(2031,2,28)),1,0))&gt;0,0,'Working Capital'!BC15-'Working Capital'!BB15)</f>
        <v/>
      </c>
      <c r="BD13" s="156">
        <f>IF((IF(AND(Assumptions!B51&lt;&gt;"",IFERROR(DATEVALUE(TEXT(Assumptions!B51,"MM/DD/YYYY")),0)&gt;=DATE(2031,3,1),IFERROR(DATEVALUE(TEXT(Assumptions!B51,"MM/DD/YYYY")),0)&lt;=DATE(2031,3,31)),1,0)+IF(AND(Assumptions!B52&lt;&gt;"",IFERROR(DATEVALUE(TEXT(Assumptions!B52,"MM/DD/YYYY")),0)&gt;=DATE(2031,3,1),IFERROR(DATEVALUE(TEXT(Assumptions!B52,"MM/DD/YYYY")),0)&lt;=DATE(2031,3,31)),1,0)+IF(AND(Assumptions!B53&lt;&gt;"",IFERROR(DATEVALUE(TEXT(Assumptions!B53,"MM/DD/YYYY")),0)&gt;=DATE(2031,3,1),IFERROR(DATEVALUE(TEXT(Assumptions!B53,"MM/DD/YYYY")),0)&lt;=DATE(2031,3,31)),1,0)+IF(AND(Assumptions!B54&lt;&gt;"",IFERROR(DATEVALUE(TEXT(Assumptions!B54,"MM/DD/YYYY")),0)&gt;=DATE(2031,3,1),IFERROR(DATEVALUE(TEXT(Assumptions!B54,"MM/DD/YYYY")),0)&lt;=DATE(2031,3,31)),1,0)+IF(AND(Assumptions!B55&lt;&gt;"",IFERROR(DATEVALUE(TEXT(Assumptions!B55,"MM/DD/YYYY")),0)&gt;=DATE(2031,3,1),IFERROR(DATEVALUE(TEXT(Assumptions!B55,"MM/DD/YYYY")),0)&lt;=DATE(2031,3,31)),1,0)+IF(AND(Assumptions!B56&lt;&gt;"",IFERROR(DATEVALUE(TEXT(Assumptions!B56,"MM/DD/YYYY")),0)&gt;=DATE(2031,3,1),IFERROR(DATEVALUE(TEXT(Assumptions!B56,"MM/DD/YYYY")),0)&lt;=DATE(2031,3,31)),1,0)+IF(AND(Assumptions!B57&lt;&gt;"",IFERROR(DATEVALUE(TEXT(Assumptions!B57,"MM/DD/YYYY")),0)&gt;=DATE(2031,3,1),IFERROR(DATEVALUE(TEXT(Assumptions!B57,"MM/DD/YYYY")),0)&lt;=DATE(2031,3,31)),1,0)+IF(AND(Assumptions!B58&lt;&gt;"",IFERROR(DATEVALUE(TEXT(Assumptions!B58,"MM/DD/YYYY")),0)&gt;=DATE(2031,3,1),IFERROR(DATEVALUE(TEXT(Assumptions!B58,"MM/DD/YYYY")),0)&lt;=DATE(2031,3,31)),1,0)+IF(AND(Assumptions!B59&lt;&gt;"",IFERROR(DATEVALUE(TEXT(Assumptions!B59,"MM/DD/YYYY")),0)&gt;=DATE(2031,3,1),IFERROR(DATEVALUE(TEXT(Assumptions!B59,"MM/DD/YYYY")),0)&lt;=DATE(2031,3,31)),1,0)+IF(AND(Assumptions!B60&lt;&gt;"",IFERROR(DATEVALUE(TEXT(Assumptions!B60,"MM/DD/YYYY")),0)&gt;=DATE(2031,3,1),IFERROR(DATEVALUE(TEXT(Assumptions!B60,"MM/DD/YYYY")),0)&lt;=DATE(2031,3,31)),1,0))&gt;0,0,'Working Capital'!BD15-'Working Capital'!BC15)</f>
        <v/>
      </c>
      <c r="BE13" s="156">
        <f>IF((IF(AND(Assumptions!B51&lt;&gt;"",IFERROR(DATEVALUE(TEXT(Assumptions!B51,"MM/DD/YYYY")),0)&gt;=DATE(2031,4,1),IFERROR(DATEVALUE(TEXT(Assumptions!B51,"MM/DD/YYYY")),0)&lt;=DATE(2031,4,30)),1,0)+IF(AND(Assumptions!B52&lt;&gt;"",IFERROR(DATEVALUE(TEXT(Assumptions!B52,"MM/DD/YYYY")),0)&gt;=DATE(2031,4,1),IFERROR(DATEVALUE(TEXT(Assumptions!B52,"MM/DD/YYYY")),0)&lt;=DATE(2031,4,30)),1,0)+IF(AND(Assumptions!B53&lt;&gt;"",IFERROR(DATEVALUE(TEXT(Assumptions!B53,"MM/DD/YYYY")),0)&gt;=DATE(2031,4,1),IFERROR(DATEVALUE(TEXT(Assumptions!B53,"MM/DD/YYYY")),0)&lt;=DATE(2031,4,30)),1,0)+IF(AND(Assumptions!B54&lt;&gt;"",IFERROR(DATEVALUE(TEXT(Assumptions!B54,"MM/DD/YYYY")),0)&gt;=DATE(2031,4,1),IFERROR(DATEVALUE(TEXT(Assumptions!B54,"MM/DD/YYYY")),0)&lt;=DATE(2031,4,30)),1,0)+IF(AND(Assumptions!B55&lt;&gt;"",IFERROR(DATEVALUE(TEXT(Assumptions!B55,"MM/DD/YYYY")),0)&gt;=DATE(2031,4,1),IFERROR(DATEVALUE(TEXT(Assumptions!B55,"MM/DD/YYYY")),0)&lt;=DATE(2031,4,30)),1,0)+IF(AND(Assumptions!B56&lt;&gt;"",IFERROR(DATEVALUE(TEXT(Assumptions!B56,"MM/DD/YYYY")),0)&gt;=DATE(2031,4,1),IFERROR(DATEVALUE(TEXT(Assumptions!B56,"MM/DD/YYYY")),0)&lt;=DATE(2031,4,30)),1,0)+IF(AND(Assumptions!B57&lt;&gt;"",IFERROR(DATEVALUE(TEXT(Assumptions!B57,"MM/DD/YYYY")),0)&gt;=DATE(2031,4,1),IFERROR(DATEVALUE(TEXT(Assumptions!B57,"MM/DD/YYYY")),0)&lt;=DATE(2031,4,30)),1,0)+IF(AND(Assumptions!B58&lt;&gt;"",IFERROR(DATEVALUE(TEXT(Assumptions!B58,"MM/DD/YYYY")),0)&gt;=DATE(2031,4,1),IFERROR(DATEVALUE(TEXT(Assumptions!B58,"MM/DD/YYYY")),0)&lt;=DATE(2031,4,30)),1,0)+IF(AND(Assumptions!B59&lt;&gt;"",IFERROR(DATEVALUE(TEXT(Assumptions!B59,"MM/DD/YYYY")),0)&gt;=DATE(2031,4,1),IFERROR(DATEVALUE(TEXT(Assumptions!B59,"MM/DD/YYYY")),0)&lt;=DATE(2031,4,30)),1,0)+IF(AND(Assumptions!B60&lt;&gt;"",IFERROR(DATEVALUE(TEXT(Assumptions!B60,"MM/DD/YYYY")),0)&gt;=DATE(2031,4,1),IFERROR(DATEVALUE(TEXT(Assumptions!B60,"MM/DD/YYYY")),0)&lt;=DATE(2031,4,30)),1,0))&gt;0,0,'Working Capital'!BE15-'Working Capital'!BD15)</f>
        <v/>
      </c>
      <c r="BF13" s="156">
        <f>IF((IF(AND(Assumptions!B51&lt;&gt;"",IFERROR(DATEVALUE(TEXT(Assumptions!B51,"MM/DD/YYYY")),0)&gt;=DATE(2031,5,1),IFERROR(DATEVALUE(TEXT(Assumptions!B51,"MM/DD/YYYY")),0)&lt;=DATE(2031,5,31)),1,0)+IF(AND(Assumptions!B52&lt;&gt;"",IFERROR(DATEVALUE(TEXT(Assumptions!B52,"MM/DD/YYYY")),0)&gt;=DATE(2031,5,1),IFERROR(DATEVALUE(TEXT(Assumptions!B52,"MM/DD/YYYY")),0)&lt;=DATE(2031,5,31)),1,0)+IF(AND(Assumptions!B53&lt;&gt;"",IFERROR(DATEVALUE(TEXT(Assumptions!B53,"MM/DD/YYYY")),0)&gt;=DATE(2031,5,1),IFERROR(DATEVALUE(TEXT(Assumptions!B53,"MM/DD/YYYY")),0)&lt;=DATE(2031,5,31)),1,0)+IF(AND(Assumptions!B54&lt;&gt;"",IFERROR(DATEVALUE(TEXT(Assumptions!B54,"MM/DD/YYYY")),0)&gt;=DATE(2031,5,1),IFERROR(DATEVALUE(TEXT(Assumptions!B54,"MM/DD/YYYY")),0)&lt;=DATE(2031,5,31)),1,0)+IF(AND(Assumptions!B55&lt;&gt;"",IFERROR(DATEVALUE(TEXT(Assumptions!B55,"MM/DD/YYYY")),0)&gt;=DATE(2031,5,1),IFERROR(DATEVALUE(TEXT(Assumptions!B55,"MM/DD/YYYY")),0)&lt;=DATE(2031,5,31)),1,0)+IF(AND(Assumptions!B56&lt;&gt;"",IFERROR(DATEVALUE(TEXT(Assumptions!B56,"MM/DD/YYYY")),0)&gt;=DATE(2031,5,1),IFERROR(DATEVALUE(TEXT(Assumptions!B56,"MM/DD/YYYY")),0)&lt;=DATE(2031,5,31)),1,0)+IF(AND(Assumptions!B57&lt;&gt;"",IFERROR(DATEVALUE(TEXT(Assumptions!B57,"MM/DD/YYYY")),0)&gt;=DATE(2031,5,1),IFERROR(DATEVALUE(TEXT(Assumptions!B57,"MM/DD/YYYY")),0)&lt;=DATE(2031,5,31)),1,0)+IF(AND(Assumptions!B58&lt;&gt;"",IFERROR(DATEVALUE(TEXT(Assumptions!B58,"MM/DD/YYYY")),0)&gt;=DATE(2031,5,1),IFERROR(DATEVALUE(TEXT(Assumptions!B58,"MM/DD/YYYY")),0)&lt;=DATE(2031,5,31)),1,0)+IF(AND(Assumptions!B59&lt;&gt;"",IFERROR(DATEVALUE(TEXT(Assumptions!B59,"MM/DD/YYYY")),0)&gt;=DATE(2031,5,1),IFERROR(DATEVALUE(TEXT(Assumptions!B59,"MM/DD/YYYY")),0)&lt;=DATE(2031,5,31)),1,0)+IF(AND(Assumptions!B60&lt;&gt;"",IFERROR(DATEVALUE(TEXT(Assumptions!B60,"MM/DD/YYYY")),0)&gt;=DATE(2031,5,1),IFERROR(DATEVALUE(TEXT(Assumptions!B60,"MM/DD/YYYY")),0)&lt;=DATE(2031,5,31)),1,0))&gt;0,0,'Working Capital'!BF15-'Working Capital'!BE15)</f>
        <v/>
      </c>
      <c r="BG13" s="156">
        <f>IF((IF(AND(Assumptions!B51&lt;&gt;"",IFERROR(DATEVALUE(TEXT(Assumptions!B51,"MM/DD/YYYY")),0)&gt;=DATE(2031,6,1),IFERROR(DATEVALUE(TEXT(Assumptions!B51,"MM/DD/YYYY")),0)&lt;=DATE(2031,6,30)),1,0)+IF(AND(Assumptions!B52&lt;&gt;"",IFERROR(DATEVALUE(TEXT(Assumptions!B52,"MM/DD/YYYY")),0)&gt;=DATE(2031,6,1),IFERROR(DATEVALUE(TEXT(Assumptions!B52,"MM/DD/YYYY")),0)&lt;=DATE(2031,6,30)),1,0)+IF(AND(Assumptions!B53&lt;&gt;"",IFERROR(DATEVALUE(TEXT(Assumptions!B53,"MM/DD/YYYY")),0)&gt;=DATE(2031,6,1),IFERROR(DATEVALUE(TEXT(Assumptions!B53,"MM/DD/YYYY")),0)&lt;=DATE(2031,6,30)),1,0)+IF(AND(Assumptions!B54&lt;&gt;"",IFERROR(DATEVALUE(TEXT(Assumptions!B54,"MM/DD/YYYY")),0)&gt;=DATE(2031,6,1),IFERROR(DATEVALUE(TEXT(Assumptions!B54,"MM/DD/YYYY")),0)&lt;=DATE(2031,6,30)),1,0)+IF(AND(Assumptions!B55&lt;&gt;"",IFERROR(DATEVALUE(TEXT(Assumptions!B55,"MM/DD/YYYY")),0)&gt;=DATE(2031,6,1),IFERROR(DATEVALUE(TEXT(Assumptions!B55,"MM/DD/YYYY")),0)&lt;=DATE(2031,6,30)),1,0)+IF(AND(Assumptions!B56&lt;&gt;"",IFERROR(DATEVALUE(TEXT(Assumptions!B56,"MM/DD/YYYY")),0)&gt;=DATE(2031,6,1),IFERROR(DATEVALUE(TEXT(Assumptions!B56,"MM/DD/YYYY")),0)&lt;=DATE(2031,6,30)),1,0)+IF(AND(Assumptions!B57&lt;&gt;"",IFERROR(DATEVALUE(TEXT(Assumptions!B57,"MM/DD/YYYY")),0)&gt;=DATE(2031,6,1),IFERROR(DATEVALUE(TEXT(Assumptions!B57,"MM/DD/YYYY")),0)&lt;=DATE(2031,6,30)),1,0)+IF(AND(Assumptions!B58&lt;&gt;"",IFERROR(DATEVALUE(TEXT(Assumptions!B58,"MM/DD/YYYY")),0)&gt;=DATE(2031,6,1),IFERROR(DATEVALUE(TEXT(Assumptions!B58,"MM/DD/YYYY")),0)&lt;=DATE(2031,6,30)),1,0)+IF(AND(Assumptions!B59&lt;&gt;"",IFERROR(DATEVALUE(TEXT(Assumptions!B59,"MM/DD/YYYY")),0)&gt;=DATE(2031,6,1),IFERROR(DATEVALUE(TEXT(Assumptions!B59,"MM/DD/YYYY")),0)&lt;=DATE(2031,6,30)),1,0)+IF(AND(Assumptions!B60&lt;&gt;"",IFERROR(DATEVALUE(TEXT(Assumptions!B60,"MM/DD/YYYY")),0)&gt;=DATE(2031,6,1),IFERROR(DATEVALUE(TEXT(Assumptions!B60,"MM/DD/YYYY")),0)&lt;=DATE(2031,6,30)),1,0))&gt;0,0,'Working Capital'!BG15-'Working Capital'!BF15)</f>
        <v/>
      </c>
      <c r="BH13" s="156">
        <f>IF((IF(AND(Assumptions!B51&lt;&gt;"",IFERROR(DATEVALUE(TEXT(Assumptions!B51,"MM/DD/YYYY")),0)&gt;=DATE(2031,7,1),IFERROR(DATEVALUE(TEXT(Assumptions!B51,"MM/DD/YYYY")),0)&lt;=DATE(2031,7,31)),1,0)+IF(AND(Assumptions!B52&lt;&gt;"",IFERROR(DATEVALUE(TEXT(Assumptions!B52,"MM/DD/YYYY")),0)&gt;=DATE(2031,7,1),IFERROR(DATEVALUE(TEXT(Assumptions!B52,"MM/DD/YYYY")),0)&lt;=DATE(2031,7,31)),1,0)+IF(AND(Assumptions!B53&lt;&gt;"",IFERROR(DATEVALUE(TEXT(Assumptions!B53,"MM/DD/YYYY")),0)&gt;=DATE(2031,7,1),IFERROR(DATEVALUE(TEXT(Assumptions!B53,"MM/DD/YYYY")),0)&lt;=DATE(2031,7,31)),1,0)+IF(AND(Assumptions!B54&lt;&gt;"",IFERROR(DATEVALUE(TEXT(Assumptions!B54,"MM/DD/YYYY")),0)&gt;=DATE(2031,7,1),IFERROR(DATEVALUE(TEXT(Assumptions!B54,"MM/DD/YYYY")),0)&lt;=DATE(2031,7,31)),1,0)+IF(AND(Assumptions!B55&lt;&gt;"",IFERROR(DATEVALUE(TEXT(Assumptions!B55,"MM/DD/YYYY")),0)&gt;=DATE(2031,7,1),IFERROR(DATEVALUE(TEXT(Assumptions!B55,"MM/DD/YYYY")),0)&lt;=DATE(2031,7,31)),1,0)+IF(AND(Assumptions!B56&lt;&gt;"",IFERROR(DATEVALUE(TEXT(Assumptions!B56,"MM/DD/YYYY")),0)&gt;=DATE(2031,7,1),IFERROR(DATEVALUE(TEXT(Assumptions!B56,"MM/DD/YYYY")),0)&lt;=DATE(2031,7,31)),1,0)+IF(AND(Assumptions!B57&lt;&gt;"",IFERROR(DATEVALUE(TEXT(Assumptions!B57,"MM/DD/YYYY")),0)&gt;=DATE(2031,7,1),IFERROR(DATEVALUE(TEXT(Assumptions!B57,"MM/DD/YYYY")),0)&lt;=DATE(2031,7,31)),1,0)+IF(AND(Assumptions!B58&lt;&gt;"",IFERROR(DATEVALUE(TEXT(Assumptions!B58,"MM/DD/YYYY")),0)&gt;=DATE(2031,7,1),IFERROR(DATEVALUE(TEXT(Assumptions!B58,"MM/DD/YYYY")),0)&lt;=DATE(2031,7,31)),1,0)+IF(AND(Assumptions!B59&lt;&gt;"",IFERROR(DATEVALUE(TEXT(Assumptions!B59,"MM/DD/YYYY")),0)&gt;=DATE(2031,7,1),IFERROR(DATEVALUE(TEXT(Assumptions!B59,"MM/DD/YYYY")),0)&lt;=DATE(2031,7,31)),1,0)+IF(AND(Assumptions!B60&lt;&gt;"",IFERROR(DATEVALUE(TEXT(Assumptions!B60,"MM/DD/YYYY")),0)&gt;=DATE(2031,7,1),IFERROR(DATEVALUE(TEXT(Assumptions!B60,"MM/DD/YYYY")),0)&lt;=DATE(2031,7,31)),1,0))&gt;0,0,'Working Capital'!BH15-'Working Capital'!BG15)</f>
        <v/>
      </c>
      <c r="BI13" s="156">
        <f>IF((IF(AND(Assumptions!B51&lt;&gt;"",IFERROR(DATEVALUE(TEXT(Assumptions!B51,"MM/DD/YYYY")),0)&gt;=DATE(2031,8,1),IFERROR(DATEVALUE(TEXT(Assumptions!B51,"MM/DD/YYYY")),0)&lt;=DATE(2031,8,31)),1,0)+IF(AND(Assumptions!B52&lt;&gt;"",IFERROR(DATEVALUE(TEXT(Assumptions!B52,"MM/DD/YYYY")),0)&gt;=DATE(2031,8,1),IFERROR(DATEVALUE(TEXT(Assumptions!B52,"MM/DD/YYYY")),0)&lt;=DATE(2031,8,31)),1,0)+IF(AND(Assumptions!B53&lt;&gt;"",IFERROR(DATEVALUE(TEXT(Assumptions!B53,"MM/DD/YYYY")),0)&gt;=DATE(2031,8,1),IFERROR(DATEVALUE(TEXT(Assumptions!B53,"MM/DD/YYYY")),0)&lt;=DATE(2031,8,31)),1,0)+IF(AND(Assumptions!B54&lt;&gt;"",IFERROR(DATEVALUE(TEXT(Assumptions!B54,"MM/DD/YYYY")),0)&gt;=DATE(2031,8,1),IFERROR(DATEVALUE(TEXT(Assumptions!B54,"MM/DD/YYYY")),0)&lt;=DATE(2031,8,31)),1,0)+IF(AND(Assumptions!B55&lt;&gt;"",IFERROR(DATEVALUE(TEXT(Assumptions!B55,"MM/DD/YYYY")),0)&gt;=DATE(2031,8,1),IFERROR(DATEVALUE(TEXT(Assumptions!B55,"MM/DD/YYYY")),0)&lt;=DATE(2031,8,31)),1,0)+IF(AND(Assumptions!B56&lt;&gt;"",IFERROR(DATEVALUE(TEXT(Assumptions!B56,"MM/DD/YYYY")),0)&gt;=DATE(2031,8,1),IFERROR(DATEVALUE(TEXT(Assumptions!B56,"MM/DD/YYYY")),0)&lt;=DATE(2031,8,31)),1,0)+IF(AND(Assumptions!B57&lt;&gt;"",IFERROR(DATEVALUE(TEXT(Assumptions!B57,"MM/DD/YYYY")),0)&gt;=DATE(2031,8,1),IFERROR(DATEVALUE(TEXT(Assumptions!B57,"MM/DD/YYYY")),0)&lt;=DATE(2031,8,31)),1,0)+IF(AND(Assumptions!B58&lt;&gt;"",IFERROR(DATEVALUE(TEXT(Assumptions!B58,"MM/DD/YYYY")),0)&gt;=DATE(2031,8,1),IFERROR(DATEVALUE(TEXT(Assumptions!B58,"MM/DD/YYYY")),0)&lt;=DATE(2031,8,31)),1,0)+IF(AND(Assumptions!B59&lt;&gt;"",IFERROR(DATEVALUE(TEXT(Assumptions!B59,"MM/DD/YYYY")),0)&gt;=DATE(2031,8,1),IFERROR(DATEVALUE(TEXT(Assumptions!B59,"MM/DD/YYYY")),0)&lt;=DATE(2031,8,31)),1,0)+IF(AND(Assumptions!B60&lt;&gt;"",IFERROR(DATEVALUE(TEXT(Assumptions!B60,"MM/DD/YYYY")),0)&gt;=DATE(2031,8,1),IFERROR(DATEVALUE(TEXT(Assumptions!B60,"MM/DD/YYYY")),0)&lt;=DATE(2031,8,31)),1,0))&gt;0,0,'Working Capital'!BI15-'Working Capital'!BH15)</f>
        <v/>
      </c>
      <c r="BJ13" s="156">
        <f>IF((IF(AND(Assumptions!B51&lt;&gt;"",IFERROR(DATEVALUE(TEXT(Assumptions!B51,"MM/DD/YYYY")),0)&gt;=DATE(2031,9,1),IFERROR(DATEVALUE(TEXT(Assumptions!B51,"MM/DD/YYYY")),0)&lt;=DATE(2031,9,30)),1,0)+IF(AND(Assumptions!B52&lt;&gt;"",IFERROR(DATEVALUE(TEXT(Assumptions!B52,"MM/DD/YYYY")),0)&gt;=DATE(2031,9,1),IFERROR(DATEVALUE(TEXT(Assumptions!B52,"MM/DD/YYYY")),0)&lt;=DATE(2031,9,30)),1,0)+IF(AND(Assumptions!B53&lt;&gt;"",IFERROR(DATEVALUE(TEXT(Assumptions!B53,"MM/DD/YYYY")),0)&gt;=DATE(2031,9,1),IFERROR(DATEVALUE(TEXT(Assumptions!B53,"MM/DD/YYYY")),0)&lt;=DATE(2031,9,30)),1,0)+IF(AND(Assumptions!B54&lt;&gt;"",IFERROR(DATEVALUE(TEXT(Assumptions!B54,"MM/DD/YYYY")),0)&gt;=DATE(2031,9,1),IFERROR(DATEVALUE(TEXT(Assumptions!B54,"MM/DD/YYYY")),0)&lt;=DATE(2031,9,30)),1,0)+IF(AND(Assumptions!B55&lt;&gt;"",IFERROR(DATEVALUE(TEXT(Assumptions!B55,"MM/DD/YYYY")),0)&gt;=DATE(2031,9,1),IFERROR(DATEVALUE(TEXT(Assumptions!B55,"MM/DD/YYYY")),0)&lt;=DATE(2031,9,30)),1,0)+IF(AND(Assumptions!B56&lt;&gt;"",IFERROR(DATEVALUE(TEXT(Assumptions!B56,"MM/DD/YYYY")),0)&gt;=DATE(2031,9,1),IFERROR(DATEVALUE(TEXT(Assumptions!B56,"MM/DD/YYYY")),0)&lt;=DATE(2031,9,30)),1,0)+IF(AND(Assumptions!B57&lt;&gt;"",IFERROR(DATEVALUE(TEXT(Assumptions!B57,"MM/DD/YYYY")),0)&gt;=DATE(2031,9,1),IFERROR(DATEVALUE(TEXT(Assumptions!B57,"MM/DD/YYYY")),0)&lt;=DATE(2031,9,30)),1,0)+IF(AND(Assumptions!B58&lt;&gt;"",IFERROR(DATEVALUE(TEXT(Assumptions!B58,"MM/DD/YYYY")),0)&gt;=DATE(2031,9,1),IFERROR(DATEVALUE(TEXT(Assumptions!B58,"MM/DD/YYYY")),0)&lt;=DATE(2031,9,30)),1,0)+IF(AND(Assumptions!B59&lt;&gt;"",IFERROR(DATEVALUE(TEXT(Assumptions!B59,"MM/DD/YYYY")),0)&gt;=DATE(2031,9,1),IFERROR(DATEVALUE(TEXT(Assumptions!B59,"MM/DD/YYYY")),0)&lt;=DATE(2031,9,30)),1,0)+IF(AND(Assumptions!B60&lt;&gt;"",IFERROR(DATEVALUE(TEXT(Assumptions!B60,"MM/DD/YYYY")),0)&gt;=DATE(2031,9,1),IFERROR(DATEVALUE(TEXT(Assumptions!B60,"MM/DD/YYYY")),0)&lt;=DATE(2031,9,30)),1,0))&gt;0,0,'Working Capital'!BJ15-'Working Capital'!BI15)</f>
        <v/>
      </c>
      <c r="BL13" s="157">
        <f>C13+D13+E13+F13+G13+H13+I13+J13+K13+L13+M13+N13</f>
        <v/>
      </c>
      <c r="BM13" s="157">
        <f>O13+P13+Q13+R13+S13+T13+U13+V13+W13+X13+Y13+Z13</f>
        <v/>
      </c>
      <c r="BN13" s="157">
        <f>AA13+AB13+AC13+AD13+AE13+AF13+AG13+AH13+AI13+AJ13+AK13+AL13</f>
        <v/>
      </c>
      <c r="BO13" s="157">
        <f>AM13+AN13+AO13+AP13+AQ13+AR13+AS13+AT13+AU13+AV13+AW13+AX13</f>
        <v/>
      </c>
      <c r="BP13" s="157">
        <f>AY13+AZ13+BA13+BB13+BC13+BD13+BE13+BF13+BG13+BH13+BI13+BJ13</f>
        <v/>
      </c>
    </row>
    <row r="14" ht="15" customHeight="1" s="104">
      <c r="A14" s="107" t="inlineStr">
        <is>
          <t xml:space="preserve">    Less: Capital Expenditures</t>
        </is>
      </c>
      <c r="C14" s="156">
        <f>-'Consolidated P&amp;L'!C6*Assumptions!B47</f>
        <v/>
      </c>
      <c r="D14" s="156">
        <f>-'Consolidated P&amp;L'!D6*Assumptions!B47</f>
        <v/>
      </c>
      <c r="E14" s="156">
        <f>-'Consolidated P&amp;L'!E6*Assumptions!B47</f>
        <v/>
      </c>
      <c r="F14" s="156">
        <f>-'Consolidated P&amp;L'!F6*Assumptions!B47</f>
        <v/>
      </c>
      <c r="G14" s="156">
        <f>-'Consolidated P&amp;L'!G6*Assumptions!B47</f>
        <v/>
      </c>
      <c r="H14" s="156">
        <f>-'Consolidated P&amp;L'!H6*Assumptions!B47</f>
        <v/>
      </c>
      <c r="I14" s="156">
        <f>-'Consolidated P&amp;L'!I6*Assumptions!B47</f>
        <v/>
      </c>
      <c r="J14" s="156">
        <f>-'Consolidated P&amp;L'!J6*Assumptions!B47</f>
        <v/>
      </c>
      <c r="K14" s="156">
        <f>-'Consolidated P&amp;L'!K6*Assumptions!B47</f>
        <v/>
      </c>
      <c r="L14" s="156">
        <f>-'Consolidated P&amp;L'!L6*Assumptions!B47</f>
        <v/>
      </c>
      <c r="M14" s="156">
        <f>-'Consolidated P&amp;L'!M6*Assumptions!B47</f>
        <v/>
      </c>
      <c r="N14" s="156">
        <f>-'Consolidated P&amp;L'!N6*Assumptions!B47</f>
        <v/>
      </c>
      <c r="O14" s="156">
        <f>-'Consolidated P&amp;L'!O6*Assumptions!B47</f>
        <v/>
      </c>
      <c r="P14" s="156">
        <f>-'Consolidated P&amp;L'!P6*Assumptions!B47</f>
        <v/>
      </c>
      <c r="Q14" s="156">
        <f>-'Consolidated P&amp;L'!Q6*Assumptions!B47</f>
        <v/>
      </c>
      <c r="R14" s="156">
        <f>-'Consolidated P&amp;L'!R6*Assumptions!B47</f>
        <v/>
      </c>
      <c r="S14" s="156">
        <f>-'Consolidated P&amp;L'!S6*Assumptions!B47</f>
        <v/>
      </c>
      <c r="T14" s="156">
        <f>-'Consolidated P&amp;L'!T6*Assumptions!B47</f>
        <v/>
      </c>
      <c r="U14" s="156">
        <f>-'Consolidated P&amp;L'!U6*Assumptions!B47</f>
        <v/>
      </c>
      <c r="V14" s="156">
        <f>-'Consolidated P&amp;L'!V6*Assumptions!B47</f>
        <v/>
      </c>
      <c r="W14" s="156">
        <f>-'Consolidated P&amp;L'!W6*Assumptions!B47</f>
        <v/>
      </c>
      <c r="X14" s="156">
        <f>-'Consolidated P&amp;L'!X6*Assumptions!B47</f>
        <v/>
      </c>
      <c r="Y14" s="156">
        <f>-'Consolidated P&amp;L'!Y6*Assumptions!B47</f>
        <v/>
      </c>
      <c r="Z14" s="156">
        <f>-'Consolidated P&amp;L'!Z6*Assumptions!B47</f>
        <v/>
      </c>
      <c r="AA14" s="156">
        <f>-'Consolidated P&amp;L'!AA6*Assumptions!B47</f>
        <v/>
      </c>
      <c r="AB14" s="156">
        <f>-'Consolidated P&amp;L'!AB6*Assumptions!B47</f>
        <v/>
      </c>
      <c r="AC14" s="156">
        <f>-'Consolidated P&amp;L'!AC6*Assumptions!B47</f>
        <v/>
      </c>
      <c r="AD14" s="156">
        <f>-'Consolidated P&amp;L'!AD6*Assumptions!B47</f>
        <v/>
      </c>
      <c r="AE14" s="156">
        <f>-'Consolidated P&amp;L'!AE6*Assumptions!B47</f>
        <v/>
      </c>
      <c r="AF14" s="156">
        <f>-'Consolidated P&amp;L'!AF6*Assumptions!B47</f>
        <v/>
      </c>
      <c r="AG14" s="156">
        <f>-'Consolidated P&amp;L'!AG6*Assumptions!B47</f>
        <v/>
      </c>
      <c r="AH14" s="156">
        <f>-'Consolidated P&amp;L'!AH6*Assumptions!B47</f>
        <v/>
      </c>
      <c r="AI14" s="156">
        <f>-'Consolidated P&amp;L'!AI6*Assumptions!B47</f>
        <v/>
      </c>
      <c r="AJ14" s="156">
        <f>-'Consolidated P&amp;L'!AJ6*Assumptions!B47</f>
        <v/>
      </c>
      <c r="AK14" s="156">
        <f>-'Consolidated P&amp;L'!AK6*Assumptions!B47</f>
        <v/>
      </c>
      <c r="AL14" s="156">
        <f>-'Consolidated P&amp;L'!AL6*Assumptions!B47</f>
        <v/>
      </c>
      <c r="AM14" s="156">
        <f>-'Consolidated P&amp;L'!AM6*Assumptions!B47</f>
        <v/>
      </c>
      <c r="AN14" s="156">
        <f>-'Consolidated P&amp;L'!AN6*Assumptions!B47</f>
        <v/>
      </c>
      <c r="AO14" s="156">
        <f>-'Consolidated P&amp;L'!AO6*Assumptions!B47</f>
        <v/>
      </c>
      <c r="AP14" s="156">
        <f>-'Consolidated P&amp;L'!AP6*Assumptions!B47</f>
        <v/>
      </c>
      <c r="AQ14" s="156">
        <f>-'Consolidated P&amp;L'!AQ6*Assumptions!B47</f>
        <v/>
      </c>
      <c r="AR14" s="156">
        <f>-'Consolidated P&amp;L'!AR6*Assumptions!B47</f>
        <v/>
      </c>
      <c r="AS14" s="156">
        <f>-'Consolidated P&amp;L'!AS6*Assumptions!B47</f>
        <v/>
      </c>
      <c r="AT14" s="156">
        <f>-'Consolidated P&amp;L'!AT6*Assumptions!B47</f>
        <v/>
      </c>
      <c r="AU14" s="156">
        <f>-'Consolidated P&amp;L'!AU6*Assumptions!B47</f>
        <v/>
      </c>
      <c r="AV14" s="156">
        <f>-'Consolidated P&amp;L'!AV6*Assumptions!B47</f>
        <v/>
      </c>
      <c r="AW14" s="156">
        <f>-'Consolidated P&amp;L'!AW6*Assumptions!B47</f>
        <v/>
      </c>
      <c r="AX14" s="156">
        <f>-'Consolidated P&amp;L'!AX6*Assumptions!B47</f>
        <v/>
      </c>
      <c r="AY14" s="156">
        <f>-'Consolidated P&amp;L'!AY6*Assumptions!B47</f>
        <v/>
      </c>
      <c r="AZ14" s="156">
        <f>-'Consolidated P&amp;L'!AZ6*Assumptions!B47</f>
        <v/>
      </c>
      <c r="BA14" s="156">
        <f>-'Consolidated P&amp;L'!BA6*Assumptions!B47</f>
        <v/>
      </c>
      <c r="BB14" s="156">
        <f>-'Consolidated P&amp;L'!BB6*Assumptions!B47</f>
        <v/>
      </c>
      <c r="BC14" s="156">
        <f>-'Consolidated P&amp;L'!BC6*Assumptions!B47</f>
        <v/>
      </c>
      <c r="BD14" s="156">
        <f>-'Consolidated P&amp;L'!BD6*Assumptions!B47</f>
        <v/>
      </c>
      <c r="BE14" s="156">
        <f>-'Consolidated P&amp;L'!BE6*Assumptions!B47</f>
        <v/>
      </c>
      <c r="BF14" s="156">
        <f>-'Consolidated P&amp;L'!BF6*Assumptions!B47</f>
        <v/>
      </c>
      <c r="BG14" s="156">
        <f>-'Consolidated P&amp;L'!BG6*Assumptions!B47</f>
        <v/>
      </c>
      <c r="BH14" s="156">
        <f>-'Consolidated P&amp;L'!BH6*Assumptions!B47</f>
        <v/>
      </c>
      <c r="BI14" s="156">
        <f>-'Consolidated P&amp;L'!BI6*Assumptions!B47</f>
        <v/>
      </c>
      <c r="BJ14" s="156">
        <f>-'Consolidated P&amp;L'!BJ6*Assumptions!B47</f>
        <v/>
      </c>
      <c r="BL14" s="157">
        <f>C14+D14+E14+F14+G14+H14+I14+J14+K14+L14+M14+N14</f>
        <v/>
      </c>
      <c r="BM14" s="157">
        <f>O14+P14+Q14+R14+S14+T14+U14+V14+W14+X14+Y14+Z14</f>
        <v/>
      </c>
      <c r="BN14" s="157">
        <f>AA14+AB14+AC14+AD14+AE14+AF14+AG14+AH14+AI14+AJ14+AK14+AL14</f>
        <v/>
      </c>
      <c r="BO14" s="157">
        <f>AM14+AN14+AO14+AP14+AQ14+AR14+AS14+AT14+AU14+AV14+AW14+AX14</f>
        <v/>
      </c>
      <c r="BP14" s="157">
        <f>AY14+AZ14+BA14+BB14+BC14+BD14+BE14+BF14+BG14+BH14+BI14+BJ14</f>
        <v/>
      </c>
    </row>
    <row r="15" ht="15" customHeight="1" s="104">
      <c r="A15" s="182" t="inlineStr">
        <is>
          <t>Cash from Operations</t>
        </is>
      </c>
      <c r="C15" s="183">
        <f>C6+C7+C8+C10+C11+C12+C13+C14</f>
        <v/>
      </c>
      <c r="D15" s="183">
        <f>D6+D7+D8+D10+D11+D12+D13+D14</f>
        <v/>
      </c>
      <c r="E15" s="183">
        <f>E6+E7+E8+E10+E11+E12+E13+E14</f>
        <v/>
      </c>
      <c r="F15" s="183">
        <f>F6+F7+F8+F10+F11+F12+F13+F14</f>
        <v/>
      </c>
      <c r="G15" s="183">
        <f>G6+G7+G8+G10+G11+G12+G13+G14</f>
        <v/>
      </c>
      <c r="H15" s="183">
        <f>H6+H7+H8+H10+H11+H12+H13+H14</f>
        <v/>
      </c>
      <c r="I15" s="183">
        <f>I6+I7+I8+I10+I11+I12+I13+I14</f>
        <v/>
      </c>
      <c r="J15" s="183">
        <f>J6+J7+J8+J10+J11+J12+J13+J14</f>
        <v/>
      </c>
      <c r="K15" s="183">
        <f>K6+K7+K8+K10+K11+K12+K13+K14</f>
        <v/>
      </c>
      <c r="L15" s="183">
        <f>L6+L7+L8+L10+L11+L12+L13+L14</f>
        <v/>
      </c>
      <c r="M15" s="183">
        <f>M6+M7+M8+M10+M11+M12+M13+M14</f>
        <v/>
      </c>
      <c r="N15" s="183">
        <f>N6+N7+N8+N10+N11+N12+N13+N14</f>
        <v/>
      </c>
      <c r="O15" s="183">
        <f>O6+O7+O8+O10+O11+O12+O13+O14</f>
        <v/>
      </c>
      <c r="P15" s="183">
        <f>P6+P7+P8+P10+P11+P12+P13+P14</f>
        <v/>
      </c>
      <c r="Q15" s="183">
        <f>Q6+Q7+Q8+Q10+Q11+Q12+Q13+Q14</f>
        <v/>
      </c>
      <c r="R15" s="183">
        <f>R6+R7+R8+R10+R11+R12+R13+R14</f>
        <v/>
      </c>
      <c r="S15" s="183">
        <f>S6+S7+S8+S10+S11+S12+S13+S14</f>
        <v/>
      </c>
      <c r="T15" s="183">
        <f>T6+T7+T8+T10+T11+T12+T13+T14</f>
        <v/>
      </c>
      <c r="U15" s="183">
        <f>U6+U7+U8+U10+U11+U12+U13+U14</f>
        <v/>
      </c>
      <c r="V15" s="183">
        <f>V6+V7+V8+V10+V11+V12+V13+V14</f>
        <v/>
      </c>
      <c r="W15" s="183">
        <f>W6+W7+W8+W10+W11+W12+W13+W14</f>
        <v/>
      </c>
      <c r="X15" s="183">
        <f>X6+X7+X8+X10+X11+X12+X13+X14</f>
        <v/>
      </c>
      <c r="Y15" s="183">
        <f>Y6+Y7+Y8+Y10+Y11+Y12+Y13+Y14</f>
        <v/>
      </c>
      <c r="Z15" s="183">
        <f>Z6+Z7+Z8+Z10+Z11+Z12+Z13+Z14</f>
        <v/>
      </c>
      <c r="AA15" s="183">
        <f>AA6+AA7+AA8+AA10+AA11+AA12+AA13+AA14</f>
        <v/>
      </c>
      <c r="AB15" s="183">
        <f>AB6+AB7+AB8+AB10+AB11+AB12+AB13+AB14</f>
        <v/>
      </c>
      <c r="AC15" s="183">
        <f>AC6+AC7+AC8+AC10+AC11+AC12+AC13+AC14</f>
        <v/>
      </c>
      <c r="AD15" s="183">
        <f>AD6+AD7+AD8+AD10+AD11+AD12+AD13+AD14</f>
        <v/>
      </c>
      <c r="AE15" s="183">
        <f>AE6+AE7+AE8+AE10+AE11+AE12+AE13+AE14</f>
        <v/>
      </c>
      <c r="AF15" s="183">
        <f>AF6+AF7+AF8+AF10+AF11+AF12+AF13+AF14</f>
        <v/>
      </c>
      <c r="AG15" s="183">
        <f>AG6+AG7+AG8+AG10+AG11+AG12+AG13+AG14</f>
        <v/>
      </c>
      <c r="AH15" s="183">
        <f>AH6+AH7+AH8+AH10+AH11+AH12+AH13+AH14</f>
        <v/>
      </c>
      <c r="AI15" s="183">
        <f>AI6+AI7+AI8+AI10+AI11+AI12+AI13+AI14</f>
        <v/>
      </c>
      <c r="AJ15" s="183">
        <f>AJ6+AJ7+AJ8+AJ10+AJ11+AJ12+AJ13+AJ14</f>
        <v/>
      </c>
      <c r="AK15" s="183">
        <f>AK6+AK7+AK8+AK10+AK11+AK12+AK13+AK14</f>
        <v/>
      </c>
      <c r="AL15" s="183">
        <f>AL6+AL7+AL8+AL10+AL11+AL12+AL13+AL14</f>
        <v/>
      </c>
      <c r="AM15" s="183">
        <f>AM6+AM7+AM8+AM10+AM11+AM12+AM13+AM14</f>
        <v/>
      </c>
      <c r="AN15" s="183">
        <f>AN6+AN7+AN8+AN10+AN11+AN12+AN13+AN14</f>
        <v/>
      </c>
      <c r="AO15" s="183">
        <f>AO6+AO7+AO8+AO10+AO11+AO12+AO13+AO14</f>
        <v/>
      </c>
      <c r="AP15" s="183">
        <f>AP6+AP7+AP8+AP10+AP11+AP12+AP13+AP14</f>
        <v/>
      </c>
      <c r="AQ15" s="183">
        <f>AQ6+AQ7+AQ8+AQ10+AQ11+AQ12+AQ13+AQ14</f>
        <v/>
      </c>
      <c r="AR15" s="183">
        <f>AR6+AR7+AR8+AR10+AR11+AR12+AR13+AR14</f>
        <v/>
      </c>
      <c r="AS15" s="183">
        <f>AS6+AS7+AS8+AS10+AS11+AS12+AS13+AS14</f>
        <v/>
      </c>
      <c r="AT15" s="183">
        <f>AT6+AT7+AT8+AT10+AT11+AT12+AT13+AT14</f>
        <v/>
      </c>
      <c r="AU15" s="183">
        <f>AU6+AU7+AU8+AU10+AU11+AU12+AU13+AU14</f>
        <v/>
      </c>
      <c r="AV15" s="183">
        <f>AV6+AV7+AV8+AV10+AV11+AV12+AV13+AV14</f>
        <v/>
      </c>
      <c r="AW15" s="183">
        <f>AW6+AW7+AW8+AW10+AW11+AW12+AW13+AW14</f>
        <v/>
      </c>
      <c r="AX15" s="183">
        <f>AX6+AX7+AX8+AX10+AX11+AX12+AX13+AX14</f>
        <v/>
      </c>
      <c r="AY15" s="183">
        <f>AY6+AY7+AY8+AY10+AY11+AY12+AY13+AY14</f>
        <v/>
      </c>
      <c r="AZ15" s="183">
        <f>AZ6+AZ7+AZ8+AZ10+AZ11+AZ12+AZ13+AZ14</f>
        <v/>
      </c>
      <c r="BA15" s="183">
        <f>BA6+BA7+BA8+BA10+BA11+BA12+BA13+BA14</f>
        <v/>
      </c>
      <c r="BB15" s="183">
        <f>BB6+BB7+BB8+BB10+BB11+BB12+BB13+BB14</f>
        <v/>
      </c>
      <c r="BC15" s="183">
        <f>BC6+BC7+BC8+BC10+BC11+BC12+BC13+BC14</f>
        <v/>
      </c>
      <c r="BD15" s="183">
        <f>BD6+BD7+BD8+BD10+BD11+BD12+BD13+BD14</f>
        <v/>
      </c>
      <c r="BE15" s="183">
        <f>BE6+BE7+BE8+BE10+BE11+BE12+BE13+BE14</f>
        <v/>
      </c>
      <c r="BF15" s="183">
        <f>BF6+BF7+BF8+BF10+BF11+BF12+BF13+BF14</f>
        <v/>
      </c>
      <c r="BG15" s="183">
        <f>BG6+BG7+BG8+BG10+BG11+BG12+BG13+BG14</f>
        <v/>
      </c>
      <c r="BH15" s="183">
        <f>BH6+BH7+BH8+BH10+BH11+BH12+BH13+BH14</f>
        <v/>
      </c>
      <c r="BI15" s="183">
        <f>BI6+BI7+BI8+BI10+BI11+BI12+BI13+BI14</f>
        <v/>
      </c>
      <c r="BJ15" s="183">
        <f>BJ6+BJ7+BJ8+BJ10+BJ11+BJ12+BJ13+BJ14</f>
        <v/>
      </c>
      <c r="BL15" s="183">
        <f>C15+D15+E15+F15+G15+H15+I15+J15+K15+L15+M15+N15</f>
        <v/>
      </c>
      <c r="BM15" s="183">
        <f>O15+P15+Q15+R15+S15+T15+U15+V15+W15+X15+Y15+Z15</f>
        <v/>
      </c>
      <c r="BN15" s="183">
        <f>AA15+AB15+AC15+AD15+AE15+AF15+AG15+AH15+AI15+AJ15+AK15+AL15</f>
        <v/>
      </c>
      <c r="BO15" s="183">
        <f>AM15+AN15+AO15+AP15+AQ15+AR15+AS15+AT15+AU15+AV15+AW15+AX15</f>
        <v/>
      </c>
      <c r="BP15" s="183">
        <f>AY15+AZ15+BA15+BB15+BC15+BD15+BE15+BF15+BG15+BH15+BI15+BJ15</f>
        <v/>
      </c>
    </row>
    <row r="17" ht="15" customHeight="1" s="104">
      <c r="A17" s="106" t="inlineStr">
        <is>
          <t>INVESTING ACTIVITIES</t>
        </is>
      </c>
    </row>
    <row r="18" ht="15" customHeight="1" s="104">
      <c r="A18" s="107" t="inlineStr">
        <is>
          <t xml:space="preserve">    Platform Acquisition (TEV + Transaction Fees)</t>
        </is>
      </c>
      <c r="C18" s="156">
        <f>-((Assumptions!B5*Assumptions!B6*Assumptions!B7)+((Assumptions!B5*Assumptions!B6*Assumptions!B7)*Assumptions!B11))</f>
        <v/>
      </c>
      <c r="D18" s="156">
        <f>0</f>
        <v/>
      </c>
      <c r="E18" s="156">
        <f>0</f>
        <v/>
      </c>
      <c r="F18" s="156">
        <f>0</f>
        <v/>
      </c>
      <c r="G18" s="156">
        <f>0</f>
        <v/>
      </c>
      <c r="H18" s="156">
        <f>0</f>
        <v/>
      </c>
      <c r="I18" s="156">
        <f>0</f>
        <v/>
      </c>
      <c r="J18" s="156">
        <f>0</f>
        <v/>
      </c>
      <c r="K18" s="156">
        <f>0</f>
        <v/>
      </c>
      <c r="L18" s="156">
        <f>0</f>
        <v/>
      </c>
      <c r="M18" s="156">
        <f>0</f>
        <v/>
      </c>
      <c r="N18" s="156">
        <f>0</f>
        <v/>
      </c>
      <c r="O18" s="156">
        <f>0</f>
        <v/>
      </c>
      <c r="P18" s="156">
        <f>0</f>
        <v/>
      </c>
      <c r="Q18" s="156">
        <f>0</f>
        <v/>
      </c>
      <c r="R18" s="156">
        <f>0</f>
        <v/>
      </c>
      <c r="S18" s="156">
        <f>0</f>
        <v/>
      </c>
      <c r="T18" s="156">
        <f>0</f>
        <v/>
      </c>
      <c r="U18" s="156">
        <f>0</f>
        <v/>
      </c>
      <c r="V18" s="156">
        <f>0</f>
        <v/>
      </c>
      <c r="W18" s="156">
        <f>0</f>
        <v/>
      </c>
      <c r="X18" s="156">
        <f>0</f>
        <v/>
      </c>
      <c r="Y18" s="156">
        <f>0</f>
        <v/>
      </c>
      <c r="Z18" s="156">
        <f>0</f>
        <v/>
      </c>
      <c r="AA18" s="156">
        <f>0</f>
        <v/>
      </c>
      <c r="AB18" s="156">
        <f>0</f>
        <v/>
      </c>
      <c r="AC18" s="156">
        <f>0</f>
        <v/>
      </c>
      <c r="AD18" s="156">
        <f>0</f>
        <v/>
      </c>
      <c r="AE18" s="156">
        <f>0</f>
        <v/>
      </c>
      <c r="AF18" s="156">
        <f>0</f>
        <v/>
      </c>
      <c r="AG18" s="156">
        <f>0</f>
        <v/>
      </c>
      <c r="AH18" s="156">
        <f>0</f>
        <v/>
      </c>
      <c r="AI18" s="156">
        <f>0</f>
        <v/>
      </c>
      <c r="AJ18" s="156">
        <f>0</f>
        <v/>
      </c>
      <c r="AK18" s="156">
        <f>0</f>
        <v/>
      </c>
      <c r="AL18" s="156">
        <f>0</f>
        <v/>
      </c>
      <c r="AM18" s="156">
        <f>0</f>
        <v/>
      </c>
      <c r="AN18" s="156">
        <f>0</f>
        <v/>
      </c>
      <c r="AO18" s="156">
        <f>0</f>
        <v/>
      </c>
      <c r="AP18" s="156">
        <f>0</f>
        <v/>
      </c>
      <c r="AQ18" s="156">
        <f>0</f>
        <v/>
      </c>
      <c r="AR18" s="156">
        <f>0</f>
        <v/>
      </c>
      <c r="AS18" s="156">
        <f>0</f>
        <v/>
      </c>
      <c r="AT18" s="156">
        <f>0</f>
        <v/>
      </c>
      <c r="AU18" s="156">
        <f>0</f>
        <v/>
      </c>
      <c r="AV18" s="156">
        <f>0</f>
        <v/>
      </c>
      <c r="AW18" s="156">
        <f>0</f>
        <v/>
      </c>
      <c r="AX18" s="156">
        <f>0</f>
        <v/>
      </c>
      <c r="AY18" s="156">
        <f>0</f>
        <v/>
      </c>
      <c r="AZ18" s="156">
        <f>0</f>
        <v/>
      </c>
      <c r="BA18" s="156">
        <f>0</f>
        <v/>
      </c>
      <c r="BB18" s="156">
        <f>0</f>
        <v/>
      </c>
      <c r="BC18" s="156">
        <f>0</f>
        <v/>
      </c>
      <c r="BD18" s="156">
        <f>0</f>
        <v/>
      </c>
      <c r="BE18" s="156">
        <f>0</f>
        <v/>
      </c>
      <c r="BF18" s="156">
        <f>0</f>
        <v/>
      </c>
      <c r="BG18" s="156">
        <f>0</f>
        <v/>
      </c>
      <c r="BH18" s="156">
        <f>0</f>
        <v/>
      </c>
      <c r="BI18" s="156">
        <f>0</f>
        <v/>
      </c>
      <c r="BJ18" s="156">
        <f>0</f>
        <v/>
      </c>
      <c r="BL18" s="157">
        <f>C18+D18+E18+F18+G18+H18+I18+J18+K18+L18+M18+N18</f>
        <v/>
      </c>
      <c r="BM18" s="157">
        <f>O18+P18+Q18+R18+S18+T18+U18+V18+W18+X18+Y18+Z18</f>
        <v/>
      </c>
      <c r="BN18" s="157">
        <f>AA18+AB18+AC18+AD18+AE18+AF18+AG18+AH18+AI18+AJ18+AK18+AL18</f>
        <v/>
      </c>
      <c r="BO18" s="157">
        <f>AM18+AN18+AO18+AP18+AQ18+AR18+AS18+AT18+AU18+AV18+AW18+AX18</f>
        <v/>
      </c>
      <c r="BP18" s="157">
        <f>AY18+AZ18+BA18+BB18+BC18+BD18+BE18+BF18+BG18+BH18+BI18+BJ18</f>
        <v/>
      </c>
    </row>
    <row r="19" ht="15" customHeight="1" s="104">
      <c r="A19" s="107" t="inlineStr">
        <is>
          <t xml:space="preserve">    Add-On 1 Acquisition (TEV + Transaction Fees)</t>
        </is>
      </c>
      <c r="C19" s="156">
        <f>IF(AND(Assumptions!B51&lt;&gt;"",IFERROR(DATEVALUE(TEXT(Assumptions!B51,"MM/DD/YYYY")),0)&gt;=DATE(2026,10,1),IFERROR(DATEVALUE(TEXT(Assumptions!B51,"MM/DD/YYYY")),0)&lt;=DATE(2026,10,31)),-(Assumptions!G51+(Assumptions!G51*Assumptions!F51)),0)</f>
        <v/>
      </c>
      <c r="D19" s="156">
        <f>IF(AND(Assumptions!B51&lt;&gt;"",IFERROR(DATEVALUE(TEXT(Assumptions!B51,"MM/DD/YYYY")),0)&gt;=DATE(2026,11,1),IFERROR(DATEVALUE(TEXT(Assumptions!B51,"MM/DD/YYYY")),0)&lt;=DATE(2026,11,30)),-(Assumptions!G51+(Assumptions!G51*Assumptions!F51)),0)</f>
        <v/>
      </c>
      <c r="E19" s="156">
        <f>IF(AND(Assumptions!B51&lt;&gt;"",IFERROR(DATEVALUE(TEXT(Assumptions!B51,"MM/DD/YYYY")),0)&gt;=DATE(2026,12,1),IFERROR(DATEVALUE(TEXT(Assumptions!B51,"MM/DD/YYYY")),0)&lt;=DATE(2026,12,31)),-(Assumptions!G51+(Assumptions!G51*Assumptions!F51)),0)</f>
        <v/>
      </c>
      <c r="F19" s="156">
        <f>IF(AND(Assumptions!B51&lt;&gt;"",IFERROR(DATEVALUE(TEXT(Assumptions!B51,"MM/DD/YYYY")),0)&gt;=DATE(2027,1,1),IFERROR(DATEVALUE(TEXT(Assumptions!B51,"MM/DD/YYYY")),0)&lt;=DATE(2027,1,31)),-(Assumptions!G51+(Assumptions!G51*Assumptions!F51)),0)</f>
        <v/>
      </c>
      <c r="G19" s="156">
        <f>IF(AND(Assumptions!B51&lt;&gt;"",IFERROR(DATEVALUE(TEXT(Assumptions!B51,"MM/DD/YYYY")),0)&gt;=DATE(2027,2,1),IFERROR(DATEVALUE(TEXT(Assumptions!B51,"MM/DD/YYYY")),0)&lt;=DATE(2027,2,28)),-(Assumptions!G51+(Assumptions!G51*Assumptions!F51)),0)</f>
        <v/>
      </c>
      <c r="H19" s="156">
        <f>IF(AND(Assumptions!B51&lt;&gt;"",IFERROR(DATEVALUE(TEXT(Assumptions!B51,"MM/DD/YYYY")),0)&gt;=DATE(2027,3,1),IFERROR(DATEVALUE(TEXT(Assumptions!B51,"MM/DD/YYYY")),0)&lt;=DATE(2027,3,31)),-(Assumptions!G51+(Assumptions!G51*Assumptions!F51)),0)</f>
        <v/>
      </c>
      <c r="I19" s="156">
        <f>IF(AND(Assumptions!B51&lt;&gt;"",IFERROR(DATEVALUE(TEXT(Assumptions!B51,"MM/DD/YYYY")),0)&gt;=DATE(2027,4,1),IFERROR(DATEVALUE(TEXT(Assumptions!B51,"MM/DD/YYYY")),0)&lt;=DATE(2027,4,30)),-(Assumptions!G51+(Assumptions!G51*Assumptions!F51)),0)</f>
        <v/>
      </c>
      <c r="J19" s="156">
        <f>IF(AND(Assumptions!B51&lt;&gt;"",IFERROR(DATEVALUE(TEXT(Assumptions!B51,"MM/DD/YYYY")),0)&gt;=DATE(2027,5,1),IFERROR(DATEVALUE(TEXT(Assumptions!B51,"MM/DD/YYYY")),0)&lt;=DATE(2027,5,31)),-(Assumptions!G51+(Assumptions!G51*Assumptions!F51)),0)</f>
        <v/>
      </c>
      <c r="K19" s="156">
        <f>IF(AND(Assumptions!B51&lt;&gt;"",IFERROR(DATEVALUE(TEXT(Assumptions!B51,"MM/DD/YYYY")),0)&gt;=DATE(2027,6,1),IFERROR(DATEVALUE(TEXT(Assumptions!B51,"MM/DD/YYYY")),0)&lt;=DATE(2027,6,30)),-(Assumptions!G51+(Assumptions!G51*Assumptions!F51)),0)</f>
        <v/>
      </c>
      <c r="L19" s="156">
        <f>IF(AND(Assumptions!B51&lt;&gt;"",IFERROR(DATEVALUE(TEXT(Assumptions!B51,"MM/DD/YYYY")),0)&gt;=DATE(2027,7,1),IFERROR(DATEVALUE(TEXT(Assumptions!B51,"MM/DD/YYYY")),0)&lt;=DATE(2027,7,31)),-(Assumptions!G51+(Assumptions!G51*Assumptions!F51)),0)</f>
        <v/>
      </c>
      <c r="M19" s="156">
        <f>IF(AND(Assumptions!B51&lt;&gt;"",IFERROR(DATEVALUE(TEXT(Assumptions!B51,"MM/DD/YYYY")),0)&gt;=DATE(2027,8,1),IFERROR(DATEVALUE(TEXT(Assumptions!B51,"MM/DD/YYYY")),0)&lt;=DATE(2027,8,31)),-(Assumptions!G51+(Assumptions!G51*Assumptions!F51)),0)</f>
        <v/>
      </c>
      <c r="N19" s="156">
        <f>IF(AND(Assumptions!B51&lt;&gt;"",IFERROR(DATEVALUE(TEXT(Assumptions!B51,"MM/DD/YYYY")),0)&gt;=DATE(2027,9,1),IFERROR(DATEVALUE(TEXT(Assumptions!B51,"MM/DD/YYYY")),0)&lt;=DATE(2027,9,30)),-(Assumptions!G51+(Assumptions!G51*Assumptions!F51)),0)</f>
        <v/>
      </c>
      <c r="O19" s="156">
        <f>IF(AND(Assumptions!B51&lt;&gt;"",IFERROR(DATEVALUE(TEXT(Assumptions!B51,"MM/DD/YYYY")),0)&gt;=DATE(2027,10,1),IFERROR(DATEVALUE(TEXT(Assumptions!B51,"MM/DD/YYYY")),0)&lt;=DATE(2027,10,31)),-(Assumptions!G51+(Assumptions!G51*Assumptions!F51)),0)</f>
        <v/>
      </c>
      <c r="P19" s="156">
        <f>IF(AND(Assumptions!B51&lt;&gt;"",IFERROR(DATEVALUE(TEXT(Assumptions!B51,"MM/DD/YYYY")),0)&gt;=DATE(2027,11,1),IFERROR(DATEVALUE(TEXT(Assumptions!B51,"MM/DD/YYYY")),0)&lt;=DATE(2027,11,30)),-(Assumptions!G51+(Assumptions!G51*Assumptions!F51)),0)</f>
        <v/>
      </c>
      <c r="Q19" s="156">
        <f>IF(AND(Assumptions!B51&lt;&gt;"",IFERROR(DATEVALUE(TEXT(Assumptions!B51,"MM/DD/YYYY")),0)&gt;=DATE(2027,12,1),IFERROR(DATEVALUE(TEXT(Assumptions!B51,"MM/DD/YYYY")),0)&lt;=DATE(2027,12,31)),-(Assumptions!G51+(Assumptions!G51*Assumptions!F51)),0)</f>
        <v/>
      </c>
      <c r="R19" s="156">
        <f>IF(AND(Assumptions!B51&lt;&gt;"",IFERROR(DATEVALUE(TEXT(Assumptions!B51,"MM/DD/YYYY")),0)&gt;=DATE(2028,1,1),IFERROR(DATEVALUE(TEXT(Assumptions!B51,"MM/DD/YYYY")),0)&lt;=DATE(2028,1,31)),-(Assumptions!G51+(Assumptions!G51*Assumptions!F51)),0)</f>
        <v/>
      </c>
      <c r="S19" s="156">
        <f>IF(AND(Assumptions!B51&lt;&gt;"",IFERROR(DATEVALUE(TEXT(Assumptions!B51,"MM/DD/YYYY")),0)&gt;=DATE(2028,2,1),IFERROR(DATEVALUE(TEXT(Assumptions!B51,"MM/DD/YYYY")),0)&lt;=DATE(2028,2,29)),-(Assumptions!G51+(Assumptions!G51*Assumptions!F51)),0)</f>
        <v/>
      </c>
      <c r="T19" s="156">
        <f>IF(AND(Assumptions!B51&lt;&gt;"",IFERROR(DATEVALUE(TEXT(Assumptions!B51,"MM/DD/YYYY")),0)&gt;=DATE(2028,3,1),IFERROR(DATEVALUE(TEXT(Assumptions!B51,"MM/DD/YYYY")),0)&lt;=DATE(2028,3,31)),-(Assumptions!G51+(Assumptions!G51*Assumptions!F51)),0)</f>
        <v/>
      </c>
      <c r="U19" s="156">
        <f>IF(AND(Assumptions!B51&lt;&gt;"",IFERROR(DATEVALUE(TEXT(Assumptions!B51,"MM/DD/YYYY")),0)&gt;=DATE(2028,4,1),IFERROR(DATEVALUE(TEXT(Assumptions!B51,"MM/DD/YYYY")),0)&lt;=DATE(2028,4,30)),-(Assumptions!G51+(Assumptions!G51*Assumptions!F51)),0)</f>
        <v/>
      </c>
      <c r="V19" s="156">
        <f>IF(AND(Assumptions!B51&lt;&gt;"",IFERROR(DATEVALUE(TEXT(Assumptions!B51,"MM/DD/YYYY")),0)&gt;=DATE(2028,5,1),IFERROR(DATEVALUE(TEXT(Assumptions!B51,"MM/DD/YYYY")),0)&lt;=DATE(2028,5,31)),-(Assumptions!G51+(Assumptions!G51*Assumptions!F51)),0)</f>
        <v/>
      </c>
      <c r="W19" s="156">
        <f>IF(AND(Assumptions!B51&lt;&gt;"",IFERROR(DATEVALUE(TEXT(Assumptions!B51,"MM/DD/YYYY")),0)&gt;=DATE(2028,6,1),IFERROR(DATEVALUE(TEXT(Assumptions!B51,"MM/DD/YYYY")),0)&lt;=DATE(2028,6,30)),-(Assumptions!G51+(Assumptions!G51*Assumptions!F51)),0)</f>
        <v/>
      </c>
      <c r="X19" s="156">
        <f>IF(AND(Assumptions!B51&lt;&gt;"",IFERROR(DATEVALUE(TEXT(Assumptions!B51,"MM/DD/YYYY")),0)&gt;=DATE(2028,7,1),IFERROR(DATEVALUE(TEXT(Assumptions!B51,"MM/DD/YYYY")),0)&lt;=DATE(2028,7,31)),-(Assumptions!G51+(Assumptions!G51*Assumptions!F51)),0)</f>
        <v/>
      </c>
      <c r="Y19" s="156">
        <f>IF(AND(Assumptions!B51&lt;&gt;"",IFERROR(DATEVALUE(TEXT(Assumptions!B51,"MM/DD/YYYY")),0)&gt;=DATE(2028,8,1),IFERROR(DATEVALUE(TEXT(Assumptions!B51,"MM/DD/YYYY")),0)&lt;=DATE(2028,8,31)),-(Assumptions!G51+(Assumptions!G51*Assumptions!F51)),0)</f>
        <v/>
      </c>
      <c r="Z19" s="156">
        <f>IF(AND(Assumptions!B51&lt;&gt;"",IFERROR(DATEVALUE(TEXT(Assumptions!B51,"MM/DD/YYYY")),0)&gt;=DATE(2028,9,1),IFERROR(DATEVALUE(TEXT(Assumptions!B51,"MM/DD/YYYY")),0)&lt;=DATE(2028,9,30)),-(Assumptions!G51+(Assumptions!G51*Assumptions!F51)),0)</f>
        <v/>
      </c>
      <c r="AA19" s="156">
        <f>IF(AND(Assumptions!B51&lt;&gt;"",IFERROR(DATEVALUE(TEXT(Assumptions!B51,"MM/DD/YYYY")),0)&gt;=DATE(2028,10,1),IFERROR(DATEVALUE(TEXT(Assumptions!B51,"MM/DD/YYYY")),0)&lt;=DATE(2028,10,31)),-(Assumptions!G51+(Assumptions!G51*Assumptions!F51)),0)</f>
        <v/>
      </c>
      <c r="AB19" s="156">
        <f>IF(AND(Assumptions!B51&lt;&gt;"",IFERROR(DATEVALUE(TEXT(Assumptions!B51,"MM/DD/YYYY")),0)&gt;=DATE(2028,11,1),IFERROR(DATEVALUE(TEXT(Assumptions!B51,"MM/DD/YYYY")),0)&lt;=DATE(2028,11,30)),-(Assumptions!G51+(Assumptions!G51*Assumptions!F51)),0)</f>
        <v/>
      </c>
      <c r="AC19" s="156">
        <f>IF(AND(Assumptions!B51&lt;&gt;"",IFERROR(DATEVALUE(TEXT(Assumptions!B51,"MM/DD/YYYY")),0)&gt;=DATE(2028,12,1),IFERROR(DATEVALUE(TEXT(Assumptions!B51,"MM/DD/YYYY")),0)&lt;=DATE(2028,12,31)),-(Assumptions!G51+(Assumptions!G51*Assumptions!F51)),0)</f>
        <v/>
      </c>
      <c r="AD19" s="156">
        <f>IF(AND(Assumptions!B51&lt;&gt;"",IFERROR(DATEVALUE(TEXT(Assumptions!B51,"MM/DD/YYYY")),0)&gt;=DATE(2029,1,1),IFERROR(DATEVALUE(TEXT(Assumptions!B51,"MM/DD/YYYY")),0)&lt;=DATE(2029,1,31)),-(Assumptions!G51+(Assumptions!G51*Assumptions!F51)),0)</f>
        <v/>
      </c>
      <c r="AE19" s="156">
        <f>IF(AND(Assumptions!B51&lt;&gt;"",IFERROR(DATEVALUE(TEXT(Assumptions!B51,"MM/DD/YYYY")),0)&gt;=DATE(2029,2,1),IFERROR(DATEVALUE(TEXT(Assumptions!B51,"MM/DD/YYYY")),0)&lt;=DATE(2029,2,28)),-(Assumptions!G51+(Assumptions!G51*Assumptions!F51)),0)</f>
        <v/>
      </c>
      <c r="AF19" s="156">
        <f>IF(AND(Assumptions!B51&lt;&gt;"",IFERROR(DATEVALUE(TEXT(Assumptions!B51,"MM/DD/YYYY")),0)&gt;=DATE(2029,3,1),IFERROR(DATEVALUE(TEXT(Assumptions!B51,"MM/DD/YYYY")),0)&lt;=DATE(2029,3,31)),-(Assumptions!G51+(Assumptions!G51*Assumptions!F51)),0)</f>
        <v/>
      </c>
      <c r="AG19" s="156">
        <f>IF(AND(Assumptions!B51&lt;&gt;"",IFERROR(DATEVALUE(TEXT(Assumptions!B51,"MM/DD/YYYY")),0)&gt;=DATE(2029,4,1),IFERROR(DATEVALUE(TEXT(Assumptions!B51,"MM/DD/YYYY")),0)&lt;=DATE(2029,4,30)),-(Assumptions!G51+(Assumptions!G51*Assumptions!F51)),0)</f>
        <v/>
      </c>
      <c r="AH19" s="156">
        <f>IF(AND(Assumptions!B51&lt;&gt;"",IFERROR(DATEVALUE(TEXT(Assumptions!B51,"MM/DD/YYYY")),0)&gt;=DATE(2029,5,1),IFERROR(DATEVALUE(TEXT(Assumptions!B51,"MM/DD/YYYY")),0)&lt;=DATE(2029,5,31)),-(Assumptions!G51+(Assumptions!G51*Assumptions!F51)),0)</f>
        <v/>
      </c>
      <c r="AI19" s="156">
        <f>IF(AND(Assumptions!B51&lt;&gt;"",IFERROR(DATEVALUE(TEXT(Assumptions!B51,"MM/DD/YYYY")),0)&gt;=DATE(2029,6,1),IFERROR(DATEVALUE(TEXT(Assumptions!B51,"MM/DD/YYYY")),0)&lt;=DATE(2029,6,30)),-(Assumptions!G51+(Assumptions!G51*Assumptions!F51)),0)</f>
        <v/>
      </c>
      <c r="AJ19" s="156">
        <f>IF(AND(Assumptions!B51&lt;&gt;"",IFERROR(DATEVALUE(TEXT(Assumptions!B51,"MM/DD/YYYY")),0)&gt;=DATE(2029,7,1),IFERROR(DATEVALUE(TEXT(Assumptions!B51,"MM/DD/YYYY")),0)&lt;=DATE(2029,7,31)),-(Assumptions!G51+(Assumptions!G51*Assumptions!F51)),0)</f>
        <v/>
      </c>
      <c r="AK19" s="156">
        <f>IF(AND(Assumptions!B51&lt;&gt;"",IFERROR(DATEVALUE(TEXT(Assumptions!B51,"MM/DD/YYYY")),0)&gt;=DATE(2029,8,1),IFERROR(DATEVALUE(TEXT(Assumptions!B51,"MM/DD/YYYY")),0)&lt;=DATE(2029,8,31)),-(Assumptions!G51+(Assumptions!G51*Assumptions!F51)),0)</f>
        <v/>
      </c>
      <c r="AL19" s="156">
        <f>IF(AND(Assumptions!B51&lt;&gt;"",IFERROR(DATEVALUE(TEXT(Assumptions!B51,"MM/DD/YYYY")),0)&gt;=DATE(2029,9,1),IFERROR(DATEVALUE(TEXT(Assumptions!B51,"MM/DD/YYYY")),0)&lt;=DATE(2029,9,30)),-(Assumptions!G51+(Assumptions!G51*Assumptions!F51)),0)</f>
        <v/>
      </c>
      <c r="AM19" s="156">
        <f>IF(AND(Assumptions!B51&lt;&gt;"",IFERROR(DATEVALUE(TEXT(Assumptions!B51,"MM/DD/YYYY")),0)&gt;=DATE(2029,10,1),IFERROR(DATEVALUE(TEXT(Assumptions!B51,"MM/DD/YYYY")),0)&lt;=DATE(2029,10,31)),-(Assumptions!G51+(Assumptions!G51*Assumptions!F51)),0)</f>
        <v/>
      </c>
      <c r="AN19" s="156">
        <f>IF(AND(Assumptions!B51&lt;&gt;"",IFERROR(DATEVALUE(TEXT(Assumptions!B51,"MM/DD/YYYY")),0)&gt;=DATE(2029,11,1),IFERROR(DATEVALUE(TEXT(Assumptions!B51,"MM/DD/YYYY")),0)&lt;=DATE(2029,11,30)),-(Assumptions!G51+(Assumptions!G51*Assumptions!F51)),0)</f>
        <v/>
      </c>
      <c r="AO19" s="156">
        <f>IF(AND(Assumptions!B51&lt;&gt;"",IFERROR(DATEVALUE(TEXT(Assumptions!B51,"MM/DD/YYYY")),0)&gt;=DATE(2029,12,1),IFERROR(DATEVALUE(TEXT(Assumptions!B51,"MM/DD/YYYY")),0)&lt;=DATE(2029,12,31)),-(Assumptions!G51+(Assumptions!G51*Assumptions!F51)),0)</f>
        <v/>
      </c>
      <c r="AP19" s="156">
        <f>IF(AND(Assumptions!B51&lt;&gt;"",IFERROR(DATEVALUE(TEXT(Assumptions!B51,"MM/DD/YYYY")),0)&gt;=DATE(2030,1,1),IFERROR(DATEVALUE(TEXT(Assumptions!B51,"MM/DD/YYYY")),0)&lt;=DATE(2030,1,31)),-(Assumptions!G51+(Assumptions!G51*Assumptions!F51)),0)</f>
        <v/>
      </c>
      <c r="AQ19" s="156">
        <f>IF(AND(Assumptions!B51&lt;&gt;"",IFERROR(DATEVALUE(TEXT(Assumptions!B51,"MM/DD/YYYY")),0)&gt;=DATE(2030,2,1),IFERROR(DATEVALUE(TEXT(Assumptions!B51,"MM/DD/YYYY")),0)&lt;=DATE(2030,2,28)),-(Assumptions!G51+(Assumptions!G51*Assumptions!F51)),0)</f>
        <v/>
      </c>
      <c r="AR19" s="156">
        <f>IF(AND(Assumptions!B51&lt;&gt;"",IFERROR(DATEVALUE(TEXT(Assumptions!B51,"MM/DD/YYYY")),0)&gt;=DATE(2030,3,1),IFERROR(DATEVALUE(TEXT(Assumptions!B51,"MM/DD/YYYY")),0)&lt;=DATE(2030,3,31)),-(Assumptions!G51+(Assumptions!G51*Assumptions!F51)),0)</f>
        <v/>
      </c>
      <c r="AS19" s="156">
        <f>IF(AND(Assumptions!B51&lt;&gt;"",IFERROR(DATEVALUE(TEXT(Assumptions!B51,"MM/DD/YYYY")),0)&gt;=DATE(2030,4,1),IFERROR(DATEVALUE(TEXT(Assumptions!B51,"MM/DD/YYYY")),0)&lt;=DATE(2030,4,30)),-(Assumptions!G51+(Assumptions!G51*Assumptions!F51)),0)</f>
        <v/>
      </c>
      <c r="AT19" s="156">
        <f>IF(AND(Assumptions!B51&lt;&gt;"",IFERROR(DATEVALUE(TEXT(Assumptions!B51,"MM/DD/YYYY")),0)&gt;=DATE(2030,5,1),IFERROR(DATEVALUE(TEXT(Assumptions!B51,"MM/DD/YYYY")),0)&lt;=DATE(2030,5,31)),-(Assumptions!G51+(Assumptions!G51*Assumptions!F51)),0)</f>
        <v/>
      </c>
      <c r="AU19" s="156">
        <f>IF(AND(Assumptions!B51&lt;&gt;"",IFERROR(DATEVALUE(TEXT(Assumptions!B51,"MM/DD/YYYY")),0)&gt;=DATE(2030,6,1),IFERROR(DATEVALUE(TEXT(Assumptions!B51,"MM/DD/YYYY")),0)&lt;=DATE(2030,6,30)),-(Assumptions!G51+(Assumptions!G51*Assumptions!F51)),0)</f>
        <v/>
      </c>
      <c r="AV19" s="156">
        <f>IF(AND(Assumptions!B51&lt;&gt;"",IFERROR(DATEVALUE(TEXT(Assumptions!B51,"MM/DD/YYYY")),0)&gt;=DATE(2030,7,1),IFERROR(DATEVALUE(TEXT(Assumptions!B51,"MM/DD/YYYY")),0)&lt;=DATE(2030,7,31)),-(Assumptions!G51+(Assumptions!G51*Assumptions!F51)),0)</f>
        <v/>
      </c>
      <c r="AW19" s="156">
        <f>IF(AND(Assumptions!B51&lt;&gt;"",IFERROR(DATEVALUE(TEXT(Assumptions!B51,"MM/DD/YYYY")),0)&gt;=DATE(2030,8,1),IFERROR(DATEVALUE(TEXT(Assumptions!B51,"MM/DD/YYYY")),0)&lt;=DATE(2030,8,31)),-(Assumptions!G51+(Assumptions!G51*Assumptions!F51)),0)</f>
        <v/>
      </c>
      <c r="AX19" s="156">
        <f>IF(AND(Assumptions!B51&lt;&gt;"",IFERROR(DATEVALUE(TEXT(Assumptions!B51,"MM/DD/YYYY")),0)&gt;=DATE(2030,9,1),IFERROR(DATEVALUE(TEXT(Assumptions!B51,"MM/DD/YYYY")),0)&lt;=DATE(2030,9,30)),-(Assumptions!G51+(Assumptions!G51*Assumptions!F51)),0)</f>
        <v/>
      </c>
      <c r="AY19" s="156">
        <f>IF(AND(Assumptions!B51&lt;&gt;"",IFERROR(DATEVALUE(TEXT(Assumptions!B51,"MM/DD/YYYY")),0)&gt;=DATE(2030,10,1),IFERROR(DATEVALUE(TEXT(Assumptions!B51,"MM/DD/YYYY")),0)&lt;=DATE(2030,10,31)),-(Assumptions!G51+(Assumptions!G51*Assumptions!F51)),0)</f>
        <v/>
      </c>
      <c r="AZ19" s="156">
        <f>IF(AND(Assumptions!B51&lt;&gt;"",IFERROR(DATEVALUE(TEXT(Assumptions!B51,"MM/DD/YYYY")),0)&gt;=DATE(2030,11,1),IFERROR(DATEVALUE(TEXT(Assumptions!B51,"MM/DD/YYYY")),0)&lt;=DATE(2030,11,30)),-(Assumptions!G51+(Assumptions!G51*Assumptions!F51)),0)</f>
        <v/>
      </c>
      <c r="BA19" s="156">
        <f>IF(AND(Assumptions!B51&lt;&gt;"",IFERROR(DATEVALUE(TEXT(Assumptions!B51,"MM/DD/YYYY")),0)&gt;=DATE(2030,12,1),IFERROR(DATEVALUE(TEXT(Assumptions!B51,"MM/DD/YYYY")),0)&lt;=DATE(2030,12,31)),-(Assumptions!G51+(Assumptions!G51*Assumptions!F51)),0)</f>
        <v/>
      </c>
      <c r="BB19" s="156">
        <f>IF(AND(Assumptions!B51&lt;&gt;"",IFERROR(DATEVALUE(TEXT(Assumptions!B51,"MM/DD/YYYY")),0)&gt;=DATE(2031,1,1),IFERROR(DATEVALUE(TEXT(Assumptions!B51,"MM/DD/YYYY")),0)&lt;=DATE(2031,1,31)),-(Assumptions!G51+(Assumptions!G51*Assumptions!F51)),0)</f>
        <v/>
      </c>
      <c r="BC19" s="156">
        <f>IF(AND(Assumptions!B51&lt;&gt;"",IFERROR(DATEVALUE(TEXT(Assumptions!B51,"MM/DD/YYYY")),0)&gt;=DATE(2031,2,1),IFERROR(DATEVALUE(TEXT(Assumptions!B51,"MM/DD/YYYY")),0)&lt;=DATE(2031,2,28)),-(Assumptions!G51+(Assumptions!G51*Assumptions!F51)),0)</f>
        <v/>
      </c>
      <c r="BD19" s="156">
        <f>IF(AND(Assumptions!B51&lt;&gt;"",IFERROR(DATEVALUE(TEXT(Assumptions!B51,"MM/DD/YYYY")),0)&gt;=DATE(2031,3,1),IFERROR(DATEVALUE(TEXT(Assumptions!B51,"MM/DD/YYYY")),0)&lt;=DATE(2031,3,31)),-(Assumptions!G51+(Assumptions!G51*Assumptions!F51)),0)</f>
        <v/>
      </c>
      <c r="BE19" s="156">
        <f>IF(AND(Assumptions!B51&lt;&gt;"",IFERROR(DATEVALUE(TEXT(Assumptions!B51,"MM/DD/YYYY")),0)&gt;=DATE(2031,4,1),IFERROR(DATEVALUE(TEXT(Assumptions!B51,"MM/DD/YYYY")),0)&lt;=DATE(2031,4,30)),-(Assumptions!G51+(Assumptions!G51*Assumptions!F51)),0)</f>
        <v/>
      </c>
      <c r="BF19" s="156">
        <f>IF(AND(Assumptions!B51&lt;&gt;"",IFERROR(DATEVALUE(TEXT(Assumptions!B51,"MM/DD/YYYY")),0)&gt;=DATE(2031,5,1),IFERROR(DATEVALUE(TEXT(Assumptions!B51,"MM/DD/YYYY")),0)&lt;=DATE(2031,5,31)),-(Assumptions!G51+(Assumptions!G51*Assumptions!F51)),0)</f>
        <v/>
      </c>
      <c r="BG19" s="156">
        <f>IF(AND(Assumptions!B51&lt;&gt;"",IFERROR(DATEVALUE(TEXT(Assumptions!B51,"MM/DD/YYYY")),0)&gt;=DATE(2031,6,1),IFERROR(DATEVALUE(TEXT(Assumptions!B51,"MM/DD/YYYY")),0)&lt;=DATE(2031,6,30)),-(Assumptions!G51+(Assumptions!G51*Assumptions!F51)),0)</f>
        <v/>
      </c>
      <c r="BH19" s="156">
        <f>IF(AND(Assumptions!B51&lt;&gt;"",IFERROR(DATEVALUE(TEXT(Assumptions!B51,"MM/DD/YYYY")),0)&gt;=DATE(2031,7,1),IFERROR(DATEVALUE(TEXT(Assumptions!B51,"MM/DD/YYYY")),0)&lt;=DATE(2031,7,31)),-(Assumptions!G51+(Assumptions!G51*Assumptions!F51)),0)</f>
        <v/>
      </c>
      <c r="BI19" s="156">
        <f>IF(AND(Assumptions!B51&lt;&gt;"",IFERROR(DATEVALUE(TEXT(Assumptions!B51,"MM/DD/YYYY")),0)&gt;=DATE(2031,8,1),IFERROR(DATEVALUE(TEXT(Assumptions!B51,"MM/DD/YYYY")),0)&lt;=DATE(2031,8,31)),-(Assumptions!G51+(Assumptions!G51*Assumptions!F51)),0)</f>
        <v/>
      </c>
      <c r="BJ19" s="156">
        <f>IF(AND(Assumptions!B51&lt;&gt;"",IFERROR(DATEVALUE(TEXT(Assumptions!B51,"MM/DD/YYYY")),0)&gt;=DATE(2031,9,1),IFERROR(DATEVALUE(TEXT(Assumptions!B51,"MM/DD/YYYY")),0)&lt;=DATE(2031,9,30)),-(Assumptions!G51+(Assumptions!G51*Assumptions!F51)),0)</f>
        <v/>
      </c>
      <c r="BL19" s="157">
        <f>C19+D19+E19+F19+G19+H19+I19+J19+K19+L19+M19+N19</f>
        <v/>
      </c>
      <c r="BM19" s="157">
        <f>O19+P19+Q19+R19+S19+T19+U19+V19+W19+X19+Y19+Z19</f>
        <v/>
      </c>
      <c r="BN19" s="157">
        <f>AA19+AB19+AC19+AD19+AE19+AF19+AG19+AH19+AI19+AJ19+AK19+AL19</f>
        <v/>
      </c>
      <c r="BO19" s="157">
        <f>AM19+AN19+AO19+AP19+AQ19+AR19+AS19+AT19+AU19+AV19+AW19+AX19</f>
        <v/>
      </c>
      <c r="BP19" s="157">
        <f>AY19+AZ19+BA19+BB19+BC19+BD19+BE19+BF19+BG19+BH19+BI19+BJ19</f>
        <v/>
      </c>
    </row>
    <row r="20" ht="15" customHeight="1" s="104">
      <c r="A20" s="107" t="inlineStr">
        <is>
          <t xml:space="preserve">    Add-On 2 Acquisition (TEV + Transaction Fees)</t>
        </is>
      </c>
      <c r="C20" s="156">
        <f>IF(AND(Assumptions!B52&lt;&gt;"",IFERROR(DATEVALUE(TEXT(Assumptions!B52,"MM/DD/YYYY")),0)&gt;=DATE(2026,10,1),IFERROR(DATEVALUE(TEXT(Assumptions!B52,"MM/DD/YYYY")),0)&lt;=DATE(2026,10,31)),-(Assumptions!G52+(Assumptions!G52*Assumptions!F52)),0)</f>
        <v/>
      </c>
      <c r="D20" s="156">
        <f>IF(AND(Assumptions!B52&lt;&gt;"",IFERROR(DATEVALUE(TEXT(Assumptions!B52,"MM/DD/YYYY")),0)&gt;=DATE(2026,11,1),IFERROR(DATEVALUE(TEXT(Assumptions!B52,"MM/DD/YYYY")),0)&lt;=DATE(2026,11,30)),-(Assumptions!G52+(Assumptions!G52*Assumptions!F52)),0)</f>
        <v/>
      </c>
      <c r="E20" s="156">
        <f>IF(AND(Assumptions!B52&lt;&gt;"",IFERROR(DATEVALUE(TEXT(Assumptions!B52,"MM/DD/YYYY")),0)&gt;=DATE(2026,12,1),IFERROR(DATEVALUE(TEXT(Assumptions!B52,"MM/DD/YYYY")),0)&lt;=DATE(2026,12,31)),-(Assumptions!G52+(Assumptions!G52*Assumptions!F52)),0)</f>
        <v/>
      </c>
      <c r="F20" s="156">
        <f>IF(AND(Assumptions!B52&lt;&gt;"",IFERROR(DATEVALUE(TEXT(Assumptions!B52,"MM/DD/YYYY")),0)&gt;=DATE(2027,1,1),IFERROR(DATEVALUE(TEXT(Assumptions!B52,"MM/DD/YYYY")),0)&lt;=DATE(2027,1,31)),-(Assumptions!G52+(Assumptions!G52*Assumptions!F52)),0)</f>
        <v/>
      </c>
      <c r="G20" s="156">
        <f>IF(AND(Assumptions!B52&lt;&gt;"",IFERROR(DATEVALUE(TEXT(Assumptions!B52,"MM/DD/YYYY")),0)&gt;=DATE(2027,2,1),IFERROR(DATEVALUE(TEXT(Assumptions!B52,"MM/DD/YYYY")),0)&lt;=DATE(2027,2,28)),-(Assumptions!G52+(Assumptions!G52*Assumptions!F52)),0)</f>
        <v/>
      </c>
      <c r="H20" s="156">
        <f>IF(AND(Assumptions!B52&lt;&gt;"",IFERROR(DATEVALUE(TEXT(Assumptions!B52,"MM/DD/YYYY")),0)&gt;=DATE(2027,3,1),IFERROR(DATEVALUE(TEXT(Assumptions!B52,"MM/DD/YYYY")),0)&lt;=DATE(2027,3,31)),-(Assumptions!G52+(Assumptions!G52*Assumptions!F52)),0)</f>
        <v/>
      </c>
      <c r="I20" s="156">
        <f>IF(AND(Assumptions!B52&lt;&gt;"",IFERROR(DATEVALUE(TEXT(Assumptions!B52,"MM/DD/YYYY")),0)&gt;=DATE(2027,4,1),IFERROR(DATEVALUE(TEXT(Assumptions!B52,"MM/DD/YYYY")),0)&lt;=DATE(2027,4,30)),-(Assumptions!G52+(Assumptions!G52*Assumptions!F52)),0)</f>
        <v/>
      </c>
      <c r="J20" s="156">
        <f>IF(AND(Assumptions!B52&lt;&gt;"",IFERROR(DATEVALUE(TEXT(Assumptions!B52,"MM/DD/YYYY")),0)&gt;=DATE(2027,5,1),IFERROR(DATEVALUE(TEXT(Assumptions!B52,"MM/DD/YYYY")),0)&lt;=DATE(2027,5,31)),-(Assumptions!G52+(Assumptions!G52*Assumptions!F52)),0)</f>
        <v/>
      </c>
      <c r="K20" s="156">
        <f>IF(AND(Assumptions!B52&lt;&gt;"",IFERROR(DATEVALUE(TEXT(Assumptions!B52,"MM/DD/YYYY")),0)&gt;=DATE(2027,6,1),IFERROR(DATEVALUE(TEXT(Assumptions!B52,"MM/DD/YYYY")),0)&lt;=DATE(2027,6,30)),-(Assumptions!G52+(Assumptions!G52*Assumptions!F52)),0)</f>
        <v/>
      </c>
      <c r="L20" s="156">
        <f>IF(AND(Assumptions!B52&lt;&gt;"",IFERROR(DATEVALUE(TEXT(Assumptions!B52,"MM/DD/YYYY")),0)&gt;=DATE(2027,7,1),IFERROR(DATEVALUE(TEXT(Assumptions!B52,"MM/DD/YYYY")),0)&lt;=DATE(2027,7,31)),-(Assumptions!G52+(Assumptions!G52*Assumptions!F52)),0)</f>
        <v/>
      </c>
      <c r="M20" s="156">
        <f>IF(AND(Assumptions!B52&lt;&gt;"",IFERROR(DATEVALUE(TEXT(Assumptions!B52,"MM/DD/YYYY")),0)&gt;=DATE(2027,8,1),IFERROR(DATEVALUE(TEXT(Assumptions!B52,"MM/DD/YYYY")),0)&lt;=DATE(2027,8,31)),-(Assumptions!G52+(Assumptions!G52*Assumptions!F52)),0)</f>
        <v/>
      </c>
      <c r="N20" s="156">
        <f>IF(AND(Assumptions!B52&lt;&gt;"",IFERROR(DATEVALUE(TEXT(Assumptions!B52,"MM/DD/YYYY")),0)&gt;=DATE(2027,9,1),IFERROR(DATEVALUE(TEXT(Assumptions!B52,"MM/DD/YYYY")),0)&lt;=DATE(2027,9,30)),-(Assumptions!G52+(Assumptions!G52*Assumptions!F52)),0)</f>
        <v/>
      </c>
      <c r="O20" s="156">
        <f>IF(AND(Assumptions!B52&lt;&gt;"",IFERROR(DATEVALUE(TEXT(Assumptions!B52,"MM/DD/YYYY")),0)&gt;=DATE(2027,10,1),IFERROR(DATEVALUE(TEXT(Assumptions!B52,"MM/DD/YYYY")),0)&lt;=DATE(2027,10,31)),-(Assumptions!G52+(Assumptions!G52*Assumptions!F52)),0)</f>
        <v/>
      </c>
      <c r="P20" s="156">
        <f>IF(AND(Assumptions!B52&lt;&gt;"",IFERROR(DATEVALUE(TEXT(Assumptions!B52,"MM/DD/YYYY")),0)&gt;=DATE(2027,11,1),IFERROR(DATEVALUE(TEXT(Assumptions!B52,"MM/DD/YYYY")),0)&lt;=DATE(2027,11,30)),-(Assumptions!G52+(Assumptions!G52*Assumptions!F52)),0)</f>
        <v/>
      </c>
      <c r="Q20" s="156">
        <f>IF(AND(Assumptions!B52&lt;&gt;"",IFERROR(DATEVALUE(TEXT(Assumptions!B52,"MM/DD/YYYY")),0)&gt;=DATE(2027,12,1),IFERROR(DATEVALUE(TEXT(Assumptions!B52,"MM/DD/YYYY")),0)&lt;=DATE(2027,12,31)),-(Assumptions!G52+(Assumptions!G52*Assumptions!F52)),0)</f>
        <v/>
      </c>
      <c r="R20" s="156">
        <f>IF(AND(Assumptions!B52&lt;&gt;"",IFERROR(DATEVALUE(TEXT(Assumptions!B52,"MM/DD/YYYY")),0)&gt;=DATE(2028,1,1),IFERROR(DATEVALUE(TEXT(Assumptions!B52,"MM/DD/YYYY")),0)&lt;=DATE(2028,1,31)),-(Assumptions!G52+(Assumptions!G52*Assumptions!F52)),0)</f>
        <v/>
      </c>
      <c r="S20" s="156">
        <f>IF(AND(Assumptions!B52&lt;&gt;"",IFERROR(DATEVALUE(TEXT(Assumptions!B52,"MM/DD/YYYY")),0)&gt;=DATE(2028,2,1),IFERROR(DATEVALUE(TEXT(Assumptions!B52,"MM/DD/YYYY")),0)&lt;=DATE(2028,2,29)),-(Assumptions!G52+(Assumptions!G52*Assumptions!F52)),0)</f>
        <v/>
      </c>
      <c r="T20" s="156">
        <f>IF(AND(Assumptions!B52&lt;&gt;"",IFERROR(DATEVALUE(TEXT(Assumptions!B52,"MM/DD/YYYY")),0)&gt;=DATE(2028,3,1),IFERROR(DATEVALUE(TEXT(Assumptions!B52,"MM/DD/YYYY")),0)&lt;=DATE(2028,3,31)),-(Assumptions!G52+(Assumptions!G52*Assumptions!F52)),0)</f>
        <v/>
      </c>
      <c r="U20" s="156">
        <f>IF(AND(Assumptions!B52&lt;&gt;"",IFERROR(DATEVALUE(TEXT(Assumptions!B52,"MM/DD/YYYY")),0)&gt;=DATE(2028,4,1),IFERROR(DATEVALUE(TEXT(Assumptions!B52,"MM/DD/YYYY")),0)&lt;=DATE(2028,4,30)),-(Assumptions!G52+(Assumptions!G52*Assumptions!F52)),0)</f>
        <v/>
      </c>
      <c r="V20" s="156">
        <f>IF(AND(Assumptions!B52&lt;&gt;"",IFERROR(DATEVALUE(TEXT(Assumptions!B52,"MM/DD/YYYY")),0)&gt;=DATE(2028,5,1),IFERROR(DATEVALUE(TEXT(Assumptions!B52,"MM/DD/YYYY")),0)&lt;=DATE(2028,5,31)),-(Assumptions!G52+(Assumptions!G52*Assumptions!F52)),0)</f>
        <v/>
      </c>
      <c r="W20" s="156">
        <f>IF(AND(Assumptions!B52&lt;&gt;"",IFERROR(DATEVALUE(TEXT(Assumptions!B52,"MM/DD/YYYY")),0)&gt;=DATE(2028,6,1),IFERROR(DATEVALUE(TEXT(Assumptions!B52,"MM/DD/YYYY")),0)&lt;=DATE(2028,6,30)),-(Assumptions!G52+(Assumptions!G52*Assumptions!F52)),0)</f>
        <v/>
      </c>
      <c r="X20" s="156">
        <f>IF(AND(Assumptions!B52&lt;&gt;"",IFERROR(DATEVALUE(TEXT(Assumptions!B52,"MM/DD/YYYY")),0)&gt;=DATE(2028,7,1),IFERROR(DATEVALUE(TEXT(Assumptions!B52,"MM/DD/YYYY")),0)&lt;=DATE(2028,7,31)),-(Assumptions!G52+(Assumptions!G52*Assumptions!F52)),0)</f>
        <v/>
      </c>
      <c r="Y20" s="156">
        <f>IF(AND(Assumptions!B52&lt;&gt;"",IFERROR(DATEVALUE(TEXT(Assumptions!B52,"MM/DD/YYYY")),0)&gt;=DATE(2028,8,1),IFERROR(DATEVALUE(TEXT(Assumptions!B52,"MM/DD/YYYY")),0)&lt;=DATE(2028,8,31)),-(Assumptions!G52+(Assumptions!G52*Assumptions!F52)),0)</f>
        <v/>
      </c>
      <c r="Z20" s="156">
        <f>IF(AND(Assumptions!B52&lt;&gt;"",IFERROR(DATEVALUE(TEXT(Assumptions!B52,"MM/DD/YYYY")),0)&gt;=DATE(2028,9,1),IFERROR(DATEVALUE(TEXT(Assumptions!B52,"MM/DD/YYYY")),0)&lt;=DATE(2028,9,30)),-(Assumptions!G52+(Assumptions!G52*Assumptions!F52)),0)</f>
        <v/>
      </c>
      <c r="AA20" s="156">
        <f>IF(AND(Assumptions!B52&lt;&gt;"",IFERROR(DATEVALUE(TEXT(Assumptions!B52,"MM/DD/YYYY")),0)&gt;=DATE(2028,10,1),IFERROR(DATEVALUE(TEXT(Assumptions!B52,"MM/DD/YYYY")),0)&lt;=DATE(2028,10,31)),-(Assumptions!G52+(Assumptions!G52*Assumptions!F52)),0)</f>
        <v/>
      </c>
      <c r="AB20" s="156">
        <f>IF(AND(Assumptions!B52&lt;&gt;"",IFERROR(DATEVALUE(TEXT(Assumptions!B52,"MM/DD/YYYY")),0)&gt;=DATE(2028,11,1),IFERROR(DATEVALUE(TEXT(Assumptions!B52,"MM/DD/YYYY")),0)&lt;=DATE(2028,11,30)),-(Assumptions!G52+(Assumptions!G52*Assumptions!F52)),0)</f>
        <v/>
      </c>
      <c r="AC20" s="156">
        <f>IF(AND(Assumptions!B52&lt;&gt;"",IFERROR(DATEVALUE(TEXT(Assumptions!B52,"MM/DD/YYYY")),0)&gt;=DATE(2028,12,1),IFERROR(DATEVALUE(TEXT(Assumptions!B52,"MM/DD/YYYY")),0)&lt;=DATE(2028,12,31)),-(Assumptions!G52+(Assumptions!G52*Assumptions!F52)),0)</f>
        <v/>
      </c>
      <c r="AD20" s="156">
        <f>IF(AND(Assumptions!B52&lt;&gt;"",IFERROR(DATEVALUE(TEXT(Assumptions!B52,"MM/DD/YYYY")),0)&gt;=DATE(2029,1,1),IFERROR(DATEVALUE(TEXT(Assumptions!B52,"MM/DD/YYYY")),0)&lt;=DATE(2029,1,31)),-(Assumptions!G52+(Assumptions!G52*Assumptions!F52)),0)</f>
        <v/>
      </c>
      <c r="AE20" s="156">
        <f>IF(AND(Assumptions!B52&lt;&gt;"",IFERROR(DATEVALUE(TEXT(Assumptions!B52,"MM/DD/YYYY")),0)&gt;=DATE(2029,2,1),IFERROR(DATEVALUE(TEXT(Assumptions!B52,"MM/DD/YYYY")),0)&lt;=DATE(2029,2,28)),-(Assumptions!G52+(Assumptions!G52*Assumptions!F52)),0)</f>
        <v/>
      </c>
      <c r="AF20" s="156">
        <f>IF(AND(Assumptions!B52&lt;&gt;"",IFERROR(DATEVALUE(TEXT(Assumptions!B52,"MM/DD/YYYY")),0)&gt;=DATE(2029,3,1),IFERROR(DATEVALUE(TEXT(Assumptions!B52,"MM/DD/YYYY")),0)&lt;=DATE(2029,3,31)),-(Assumptions!G52+(Assumptions!G52*Assumptions!F52)),0)</f>
        <v/>
      </c>
      <c r="AG20" s="156">
        <f>IF(AND(Assumptions!B52&lt;&gt;"",IFERROR(DATEVALUE(TEXT(Assumptions!B52,"MM/DD/YYYY")),0)&gt;=DATE(2029,4,1),IFERROR(DATEVALUE(TEXT(Assumptions!B52,"MM/DD/YYYY")),0)&lt;=DATE(2029,4,30)),-(Assumptions!G52+(Assumptions!G52*Assumptions!F52)),0)</f>
        <v/>
      </c>
      <c r="AH20" s="156">
        <f>IF(AND(Assumptions!B52&lt;&gt;"",IFERROR(DATEVALUE(TEXT(Assumptions!B52,"MM/DD/YYYY")),0)&gt;=DATE(2029,5,1),IFERROR(DATEVALUE(TEXT(Assumptions!B52,"MM/DD/YYYY")),0)&lt;=DATE(2029,5,31)),-(Assumptions!G52+(Assumptions!G52*Assumptions!F52)),0)</f>
        <v/>
      </c>
      <c r="AI20" s="156">
        <f>IF(AND(Assumptions!B52&lt;&gt;"",IFERROR(DATEVALUE(TEXT(Assumptions!B52,"MM/DD/YYYY")),0)&gt;=DATE(2029,6,1),IFERROR(DATEVALUE(TEXT(Assumptions!B52,"MM/DD/YYYY")),0)&lt;=DATE(2029,6,30)),-(Assumptions!G52+(Assumptions!G52*Assumptions!F52)),0)</f>
        <v/>
      </c>
      <c r="AJ20" s="156">
        <f>IF(AND(Assumptions!B52&lt;&gt;"",IFERROR(DATEVALUE(TEXT(Assumptions!B52,"MM/DD/YYYY")),0)&gt;=DATE(2029,7,1),IFERROR(DATEVALUE(TEXT(Assumptions!B52,"MM/DD/YYYY")),0)&lt;=DATE(2029,7,31)),-(Assumptions!G52+(Assumptions!G52*Assumptions!F52)),0)</f>
        <v/>
      </c>
      <c r="AK20" s="156">
        <f>IF(AND(Assumptions!B52&lt;&gt;"",IFERROR(DATEVALUE(TEXT(Assumptions!B52,"MM/DD/YYYY")),0)&gt;=DATE(2029,8,1),IFERROR(DATEVALUE(TEXT(Assumptions!B52,"MM/DD/YYYY")),0)&lt;=DATE(2029,8,31)),-(Assumptions!G52+(Assumptions!G52*Assumptions!F52)),0)</f>
        <v/>
      </c>
      <c r="AL20" s="156">
        <f>IF(AND(Assumptions!B52&lt;&gt;"",IFERROR(DATEVALUE(TEXT(Assumptions!B52,"MM/DD/YYYY")),0)&gt;=DATE(2029,9,1),IFERROR(DATEVALUE(TEXT(Assumptions!B52,"MM/DD/YYYY")),0)&lt;=DATE(2029,9,30)),-(Assumptions!G52+(Assumptions!G52*Assumptions!F52)),0)</f>
        <v/>
      </c>
      <c r="AM20" s="156">
        <f>IF(AND(Assumptions!B52&lt;&gt;"",IFERROR(DATEVALUE(TEXT(Assumptions!B52,"MM/DD/YYYY")),0)&gt;=DATE(2029,10,1),IFERROR(DATEVALUE(TEXT(Assumptions!B52,"MM/DD/YYYY")),0)&lt;=DATE(2029,10,31)),-(Assumptions!G52+(Assumptions!G52*Assumptions!F52)),0)</f>
        <v/>
      </c>
      <c r="AN20" s="156">
        <f>IF(AND(Assumptions!B52&lt;&gt;"",IFERROR(DATEVALUE(TEXT(Assumptions!B52,"MM/DD/YYYY")),0)&gt;=DATE(2029,11,1),IFERROR(DATEVALUE(TEXT(Assumptions!B52,"MM/DD/YYYY")),0)&lt;=DATE(2029,11,30)),-(Assumptions!G52+(Assumptions!G52*Assumptions!F52)),0)</f>
        <v/>
      </c>
      <c r="AO20" s="156">
        <f>IF(AND(Assumptions!B52&lt;&gt;"",IFERROR(DATEVALUE(TEXT(Assumptions!B52,"MM/DD/YYYY")),0)&gt;=DATE(2029,12,1),IFERROR(DATEVALUE(TEXT(Assumptions!B52,"MM/DD/YYYY")),0)&lt;=DATE(2029,12,31)),-(Assumptions!G52+(Assumptions!G52*Assumptions!F52)),0)</f>
        <v/>
      </c>
      <c r="AP20" s="156">
        <f>IF(AND(Assumptions!B52&lt;&gt;"",IFERROR(DATEVALUE(TEXT(Assumptions!B52,"MM/DD/YYYY")),0)&gt;=DATE(2030,1,1),IFERROR(DATEVALUE(TEXT(Assumptions!B52,"MM/DD/YYYY")),0)&lt;=DATE(2030,1,31)),-(Assumptions!G52+(Assumptions!G52*Assumptions!F52)),0)</f>
        <v/>
      </c>
      <c r="AQ20" s="156">
        <f>IF(AND(Assumptions!B52&lt;&gt;"",IFERROR(DATEVALUE(TEXT(Assumptions!B52,"MM/DD/YYYY")),0)&gt;=DATE(2030,2,1),IFERROR(DATEVALUE(TEXT(Assumptions!B52,"MM/DD/YYYY")),0)&lt;=DATE(2030,2,28)),-(Assumptions!G52+(Assumptions!G52*Assumptions!F52)),0)</f>
        <v/>
      </c>
      <c r="AR20" s="156">
        <f>IF(AND(Assumptions!B52&lt;&gt;"",IFERROR(DATEVALUE(TEXT(Assumptions!B52,"MM/DD/YYYY")),0)&gt;=DATE(2030,3,1),IFERROR(DATEVALUE(TEXT(Assumptions!B52,"MM/DD/YYYY")),0)&lt;=DATE(2030,3,31)),-(Assumptions!G52+(Assumptions!G52*Assumptions!F52)),0)</f>
        <v/>
      </c>
      <c r="AS20" s="156">
        <f>IF(AND(Assumptions!B52&lt;&gt;"",IFERROR(DATEVALUE(TEXT(Assumptions!B52,"MM/DD/YYYY")),0)&gt;=DATE(2030,4,1),IFERROR(DATEVALUE(TEXT(Assumptions!B52,"MM/DD/YYYY")),0)&lt;=DATE(2030,4,30)),-(Assumptions!G52+(Assumptions!G52*Assumptions!F52)),0)</f>
        <v/>
      </c>
      <c r="AT20" s="156">
        <f>IF(AND(Assumptions!B52&lt;&gt;"",IFERROR(DATEVALUE(TEXT(Assumptions!B52,"MM/DD/YYYY")),0)&gt;=DATE(2030,5,1),IFERROR(DATEVALUE(TEXT(Assumptions!B52,"MM/DD/YYYY")),0)&lt;=DATE(2030,5,31)),-(Assumptions!G52+(Assumptions!G52*Assumptions!F52)),0)</f>
        <v/>
      </c>
      <c r="AU20" s="156">
        <f>IF(AND(Assumptions!B52&lt;&gt;"",IFERROR(DATEVALUE(TEXT(Assumptions!B52,"MM/DD/YYYY")),0)&gt;=DATE(2030,6,1),IFERROR(DATEVALUE(TEXT(Assumptions!B52,"MM/DD/YYYY")),0)&lt;=DATE(2030,6,30)),-(Assumptions!G52+(Assumptions!G52*Assumptions!F52)),0)</f>
        <v/>
      </c>
      <c r="AV20" s="156">
        <f>IF(AND(Assumptions!B52&lt;&gt;"",IFERROR(DATEVALUE(TEXT(Assumptions!B52,"MM/DD/YYYY")),0)&gt;=DATE(2030,7,1),IFERROR(DATEVALUE(TEXT(Assumptions!B52,"MM/DD/YYYY")),0)&lt;=DATE(2030,7,31)),-(Assumptions!G52+(Assumptions!G52*Assumptions!F52)),0)</f>
        <v/>
      </c>
      <c r="AW20" s="156">
        <f>IF(AND(Assumptions!B52&lt;&gt;"",IFERROR(DATEVALUE(TEXT(Assumptions!B52,"MM/DD/YYYY")),0)&gt;=DATE(2030,8,1),IFERROR(DATEVALUE(TEXT(Assumptions!B52,"MM/DD/YYYY")),0)&lt;=DATE(2030,8,31)),-(Assumptions!G52+(Assumptions!G52*Assumptions!F52)),0)</f>
        <v/>
      </c>
      <c r="AX20" s="156">
        <f>IF(AND(Assumptions!B52&lt;&gt;"",IFERROR(DATEVALUE(TEXT(Assumptions!B52,"MM/DD/YYYY")),0)&gt;=DATE(2030,9,1),IFERROR(DATEVALUE(TEXT(Assumptions!B52,"MM/DD/YYYY")),0)&lt;=DATE(2030,9,30)),-(Assumptions!G52+(Assumptions!G52*Assumptions!F52)),0)</f>
        <v/>
      </c>
      <c r="AY20" s="156">
        <f>IF(AND(Assumptions!B52&lt;&gt;"",IFERROR(DATEVALUE(TEXT(Assumptions!B52,"MM/DD/YYYY")),0)&gt;=DATE(2030,10,1),IFERROR(DATEVALUE(TEXT(Assumptions!B52,"MM/DD/YYYY")),0)&lt;=DATE(2030,10,31)),-(Assumptions!G52+(Assumptions!G52*Assumptions!F52)),0)</f>
        <v/>
      </c>
      <c r="AZ20" s="156">
        <f>IF(AND(Assumptions!B52&lt;&gt;"",IFERROR(DATEVALUE(TEXT(Assumptions!B52,"MM/DD/YYYY")),0)&gt;=DATE(2030,11,1),IFERROR(DATEVALUE(TEXT(Assumptions!B52,"MM/DD/YYYY")),0)&lt;=DATE(2030,11,30)),-(Assumptions!G52+(Assumptions!G52*Assumptions!F52)),0)</f>
        <v/>
      </c>
      <c r="BA20" s="156">
        <f>IF(AND(Assumptions!B52&lt;&gt;"",IFERROR(DATEVALUE(TEXT(Assumptions!B52,"MM/DD/YYYY")),0)&gt;=DATE(2030,12,1),IFERROR(DATEVALUE(TEXT(Assumptions!B52,"MM/DD/YYYY")),0)&lt;=DATE(2030,12,31)),-(Assumptions!G52+(Assumptions!G52*Assumptions!F52)),0)</f>
        <v/>
      </c>
      <c r="BB20" s="156">
        <f>IF(AND(Assumptions!B52&lt;&gt;"",IFERROR(DATEVALUE(TEXT(Assumptions!B52,"MM/DD/YYYY")),0)&gt;=DATE(2031,1,1),IFERROR(DATEVALUE(TEXT(Assumptions!B52,"MM/DD/YYYY")),0)&lt;=DATE(2031,1,31)),-(Assumptions!G52+(Assumptions!G52*Assumptions!F52)),0)</f>
        <v/>
      </c>
      <c r="BC20" s="156">
        <f>IF(AND(Assumptions!B52&lt;&gt;"",IFERROR(DATEVALUE(TEXT(Assumptions!B52,"MM/DD/YYYY")),0)&gt;=DATE(2031,2,1),IFERROR(DATEVALUE(TEXT(Assumptions!B52,"MM/DD/YYYY")),0)&lt;=DATE(2031,2,28)),-(Assumptions!G52+(Assumptions!G52*Assumptions!F52)),0)</f>
        <v/>
      </c>
      <c r="BD20" s="156">
        <f>IF(AND(Assumptions!B52&lt;&gt;"",IFERROR(DATEVALUE(TEXT(Assumptions!B52,"MM/DD/YYYY")),0)&gt;=DATE(2031,3,1),IFERROR(DATEVALUE(TEXT(Assumptions!B52,"MM/DD/YYYY")),0)&lt;=DATE(2031,3,31)),-(Assumptions!G52+(Assumptions!G52*Assumptions!F52)),0)</f>
        <v/>
      </c>
      <c r="BE20" s="156">
        <f>IF(AND(Assumptions!B52&lt;&gt;"",IFERROR(DATEVALUE(TEXT(Assumptions!B52,"MM/DD/YYYY")),0)&gt;=DATE(2031,4,1),IFERROR(DATEVALUE(TEXT(Assumptions!B52,"MM/DD/YYYY")),0)&lt;=DATE(2031,4,30)),-(Assumptions!G52+(Assumptions!G52*Assumptions!F52)),0)</f>
        <v/>
      </c>
      <c r="BF20" s="156">
        <f>IF(AND(Assumptions!B52&lt;&gt;"",IFERROR(DATEVALUE(TEXT(Assumptions!B52,"MM/DD/YYYY")),0)&gt;=DATE(2031,5,1),IFERROR(DATEVALUE(TEXT(Assumptions!B52,"MM/DD/YYYY")),0)&lt;=DATE(2031,5,31)),-(Assumptions!G52+(Assumptions!G52*Assumptions!F52)),0)</f>
        <v/>
      </c>
      <c r="BG20" s="156">
        <f>IF(AND(Assumptions!B52&lt;&gt;"",IFERROR(DATEVALUE(TEXT(Assumptions!B52,"MM/DD/YYYY")),0)&gt;=DATE(2031,6,1),IFERROR(DATEVALUE(TEXT(Assumptions!B52,"MM/DD/YYYY")),0)&lt;=DATE(2031,6,30)),-(Assumptions!G52+(Assumptions!G52*Assumptions!F52)),0)</f>
        <v/>
      </c>
      <c r="BH20" s="156">
        <f>IF(AND(Assumptions!B52&lt;&gt;"",IFERROR(DATEVALUE(TEXT(Assumptions!B52,"MM/DD/YYYY")),0)&gt;=DATE(2031,7,1),IFERROR(DATEVALUE(TEXT(Assumptions!B52,"MM/DD/YYYY")),0)&lt;=DATE(2031,7,31)),-(Assumptions!G52+(Assumptions!G52*Assumptions!F52)),0)</f>
        <v/>
      </c>
      <c r="BI20" s="156">
        <f>IF(AND(Assumptions!B52&lt;&gt;"",IFERROR(DATEVALUE(TEXT(Assumptions!B52,"MM/DD/YYYY")),0)&gt;=DATE(2031,8,1),IFERROR(DATEVALUE(TEXT(Assumptions!B52,"MM/DD/YYYY")),0)&lt;=DATE(2031,8,31)),-(Assumptions!G52+(Assumptions!G52*Assumptions!F52)),0)</f>
        <v/>
      </c>
      <c r="BJ20" s="156">
        <f>IF(AND(Assumptions!B52&lt;&gt;"",IFERROR(DATEVALUE(TEXT(Assumptions!B52,"MM/DD/YYYY")),0)&gt;=DATE(2031,9,1),IFERROR(DATEVALUE(TEXT(Assumptions!B52,"MM/DD/YYYY")),0)&lt;=DATE(2031,9,30)),-(Assumptions!G52+(Assumptions!G52*Assumptions!F52)),0)</f>
        <v/>
      </c>
      <c r="BL20" s="157">
        <f>C20+D20+E20+F20+G20+H20+I20+J20+K20+L20+M20+N20</f>
        <v/>
      </c>
      <c r="BM20" s="157">
        <f>O20+P20+Q20+R20+S20+T20+U20+V20+W20+X20+Y20+Z20</f>
        <v/>
      </c>
      <c r="BN20" s="157">
        <f>AA20+AB20+AC20+AD20+AE20+AF20+AG20+AH20+AI20+AJ20+AK20+AL20</f>
        <v/>
      </c>
      <c r="BO20" s="157">
        <f>AM20+AN20+AO20+AP20+AQ20+AR20+AS20+AT20+AU20+AV20+AW20+AX20</f>
        <v/>
      </c>
      <c r="BP20" s="157">
        <f>AY20+AZ20+BA20+BB20+BC20+BD20+BE20+BF20+BG20+BH20+BI20+BJ20</f>
        <v/>
      </c>
    </row>
    <row r="21" ht="15" customHeight="1" s="104">
      <c r="A21" s="107" t="inlineStr">
        <is>
          <t xml:space="preserve">    Add-On 3 Acquisition (TEV + Transaction Fees)</t>
        </is>
      </c>
      <c r="C21" s="156">
        <f>IF(AND(Assumptions!B53&lt;&gt;"",IFERROR(DATEVALUE(TEXT(Assumptions!B53,"MM/DD/YYYY")),0)&gt;=DATE(2026,10,1),IFERROR(DATEVALUE(TEXT(Assumptions!B53,"MM/DD/YYYY")),0)&lt;=DATE(2026,10,31)),-(Assumptions!G53+(Assumptions!G53*Assumptions!F53)),0)</f>
        <v/>
      </c>
      <c r="D21" s="156">
        <f>IF(AND(Assumptions!B53&lt;&gt;"",IFERROR(DATEVALUE(TEXT(Assumptions!B53,"MM/DD/YYYY")),0)&gt;=DATE(2026,11,1),IFERROR(DATEVALUE(TEXT(Assumptions!B53,"MM/DD/YYYY")),0)&lt;=DATE(2026,11,30)),-(Assumptions!G53+(Assumptions!G53*Assumptions!F53)),0)</f>
        <v/>
      </c>
      <c r="E21" s="156">
        <f>IF(AND(Assumptions!B53&lt;&gt;"",IFERROR(DATEVALUE(TEXT(Assumptions!B53,"MM/DD/YYYY")),0)&gt;=DATE(2026,12,1),IFERROR(DATEVALUE(TEXT(Assumptions!B53,"MM/DD/YYYY")),0)&lt;=DATE(2026,12,31)),-(Assumptions!G53+(Assumptions!G53*Assumptions!F53)),0)</f>
        <v/>
      </c>
      <c r="F21" s="156">
        <f>IF(AND(Assumptions!B53&lt;&gt;"",IFERROR(DATEVALUE(TEXT(Assumptions!B53,"MM/DD/YYYY")),0)&gt;=DATE(2027,1,1),IFERROR(DATEVALUE(TEXT(Assumptions!B53,"MM/DD/YYYY")),0)&lt;=DATE(2027,1,31)),-(Assumptions!G53+(Assumptions!G53*Assumptions!F53)),0)</f>
        <v/>
      </c>
      <c r="G21" s="156">
        <f>IF(AND(Assumptions!B53&lt;&gt;"",IFERROR(DATEVALUE(TEXT(Assumptions!B53,"MM/DD/YYYY")),0)&gt;=DATE(2027,2,1),IFERROR(DATEVALUE(TEXT(Assumptions!B53,"MM/DD/YYYY")),0)&lt;=DATE(2027,2,28)),-(Assumptions!G53+(Assumptions!G53*Assumptions!F53)),0)</f>
        <v/>
      </c>
      <c r="H21" s="156">
        <f>IF(AND(Assumptions!B53&lt;&gt;"",IFERROR(DATEVALUE(TEXT(Assumptions!B53,"MM/DD/YYYY")),0)&gt;=DATE(2027,3,1),IFERROR(DATEVALUE(TEXT(Assumptions!B53,"MM/DD/YYYY")),0)&lt;=DATE(2027,3,31)),-(Assumptions!G53+(Assumptions!G53*Assumptions!F53)),0)</f>
        <v/>
      </c>
      <c r="I21" s="156">
        <f>IF(AND(Assumptions!B53&lt;&gt;"",IFERROR(DATEVALUE(TEXT(Assumptions!B53,"MM/DD/YYYY")),0)&gt;=DATE(2027,4,1),IFERROR(DATEVALUE(TEXT(Assumptions!B53,"MM/DD/YYYY")),0)&lt;=DATE(2027,4,30)),-(Assumptions!G53+(Assumptions!G53*Assumptions!F53)),0)</f>
        <v/>
      </c>
      <c r="J21" s="156">
        <f>IF(AND(Assumptions!B53&lt;&gt;"",IFERROR(DATEVALUE(TEXT(Assumptions!B53,"MM/DD/YYYY")),0)&gt;=DATE(2027,5,1),IFERROR(DATEVALUE(TEXT(Assumptions!B53,"MM/DD/YYYY")),0)&lt;=DATE(2027,5,31)),-(Assumptions!G53+(Assumptions!G53*Assumptions!F53)),0)</f>
        <v/>
      </c>
      <c r="K21" s="156">
        <f>IF(AND(Assumptions!B53&lt;&gt;"",IFERROR(DATEVALUE(TEXT(Assumptions!B53,"MM/DD/YYYY")),0)&gt;=DATE(2027,6,1),IFERROR(DATEVALUE(TEXT(Assumptions!B53,"MM/DD/YYYY")),0)&lt;=DATE(2027,6,30)),-(Assumptions!G53+(Assumptions!G53*Assumptions!F53)),0)</f>
        <v/>
      </c>
      <c r="L21" s="156">
        <f>IF(AND(Assumptions!B53&lt;&gt;"",IFERROR(DATEVALUE(TEXT(Assumptions!B53,"MM/DD/YYYY")),0)&gt;=DATE(2027,7,1),IFERROR(DATEVALUE(TEXT(Assumptions!B53,"MM/DD/YYYY")),0)&lt;=DATE(2027,7,31)),-(Assumptions!G53+(Assumptions!G53*Assumptions!F53)),0)</f>
        <v/>
      </c>
      <c r="M21" s="156">
        <f>IF(AND(Assumptions!B53&lt;&gt;"",IFERROR(DATEVALUE(TEXT(Assumptions!B53,"MM/DD/YYYY")),0)&gt;=DATE(2027,8,1),IFERROR(DATEVALUE(TEXT(Assumptions!B53,"MM/DD/YYYY")),0)&lt;=DATE(2027,8,31)),-(Assumptions!G53+(Assumptions!G53*Assumptions!F53)),0)</f>
        <v/>
      </c>
      <c r="N21" s="156">
        <f>IF(AND(Assumptions!B53&lt;&gt;"",IFERROR(DATEVALUE(TEXT(Assumptions!B53,"MM/DD/YYYY")),0)&gt;=DATE(2027,9,1),IFERROR(DATEVALUE(TEXT(Assumptions!B53,"MM/DD/YYYY")),0)&lt;=DATE(2027,9,30)),-(Assumptions!G53+(Assumptions!G53*Assumptions!F53)),0)</f>
        <v/>
      </c>
      <c r="O21" s="156">
        <f>IF(AND(Assumptions!B53&lt;&gt;"",IFERROR(DATEVALUE(TEXT(Assumptions!B53,"MM/DD/YYYY")),0)&gt;=DATE(2027,10,1),IFERROR(DATEVALUE(TEXT(Assumptions!B53,"MM/DD/YYYY")),0)&lt;=DATE(2027,10,31)),-(Assumptions!G53+(Assumptions!G53*Assumptions!F53)),0)</f>
        <v/>
      </c>
      <c r="P21" s="156">
        <f>IF(AND(Assumptions!B53&lt;&gt;"",IFERROR(DATEVALUE(TEXT(Assumptions!B53,"MM/DD/YYYY")),0)&gt;=DATE(2027,11,1),IFERROR(DATEVALUE(TEXT(Assumptions!B53,"MM/DD/YYYY")),0)&lt;=DATE(2027,11,30)),-(Assumptions!G53+(Assumptions!G53*Assumptions!F53)),0)</f>
        <v/>
      </c>
      <c r="Q21" s="156">
        <f>IF(AND(Assumptions!B53&lt;&gt;"",IFERROR(DATEVALUE(TEXT(Assumptions!B53,"MM/DD/YYYY")),0)&gt;=DATE(2027,12,1),IFERROR(DATEVALUE(TEXT(Assumptions!B53,"MM/DD/YYYY")),0)&lt;=DATE(2027,12,31)),-(Assumptions!G53+(Assumptions!G53*Assumptions!F53)),0)</f>
        <v/>
      </c>
      <c r="R21" s="156">
        <f>IF(AND(Assumptions!B53&lt;&gt;"",IFERROR(DATEVALUE(TEXT(Assumptions!B53,"MM/DD/YYYY")),0)&gt;=DATE(2028,1,1),IFERROR(DATEVALUE(TEXT(Assumptions!B53,"MM/DD/YYYY")),0)&lt;=DATE(2028,1,31)),-(Assumptions!G53+(Assumptions!G53*Assumptions!F53)),0)</f>
        <v/>
      </c>
      <c r="S21" s="156">
        <f>IF(AND(Assumptions!B53&lt;&gt;"",IFERROR(DATEVALUE(TEXT(Assumptions!B53,"MM/DD/YYYY")),0)&gt;=DATE(2028,2,1),IFERROR(DATEVALUE(TEXT(Assumptions!B53,"MM/DD/YYYY")),0)&lt;=DATE(2028,2,29)),-(Assumptions!G53+(Assumptions!G53*Assumptions!F53)),0)</f>
        <v/>
      </c>
      <c r="T21" s="156">
        <f>IF(AND(Assumptions!B53&lt;&gt;"",IFERROR(DATEVALUE(TEXT(Assumptions!B53,"MM/DD/YYYY")),0)&gt;=DATE(2028,3,1),IFERROR(DATEVALUE(TEXT(Assumptions!B53,"MM/DD/YYYY")),0)&lt;=DATE(2028,3,31)),-(Assumptions!G53+(Assumptions!G53*Assumptions!F53)),0)</f>
        <v/>
      </c>
      <c r="U21" s="156">
        <f>IF(AND(Assumptions!B53&lt;&gt;"",IFERROR(DATEVALUE(TEXT(Assumptions!B53,"MM/DD/YYYY")),0)&gt;=DATE(2028,4,1),IFERROR(DATEVALUE(TEXT(Assumptions!B53,"MM/DD/YYYY")),0)&lt;=DATE(2028,4,30)),-(Assumptions!G53+(Assumptions!G53*Assumptions!F53)),0)</f>
        <v/>
      </c>
      <c r="V21" s="156">
        <f>IF(AND(Assumptions!B53&lt;&gt;"",IFERROR(DATEVALUE(TEXT(Assumptions!B53,"MM/DD/YYYY")),0)&gt;=DATE(2028,5,1),IFERROR(DATEVALUE(TEXT(Assumptions!B53,"MM/DD/YYYY")),0)&lt;=DATE(2028,5,31)),-(Assumptions!G53+(Assumptions!G53*Assumptions!F53)),0)</f>
        <v/>
      </c>
      <c r="W21" s="156">
        <f>IF(AND(Assumptions!B53&lt;&gt;"",IFERROR(DATEVALUE(TEXT(Assumptions!B53,"MM/DD/YYYY")),0)&gt;=DATE(2028,6,1),IFERROR(DATEVALUE(TEXT(Assumptions!B53,"MM/DD/YYYY")),0)&lt;=DATE(2028,6,30)),-(Assumptions!G53+(Assumptions!G53*Assumptions!F53)),0)</f>
        <v/>
      </c>
      <c r="X21" s="156">
        <f>IF(AND(Assumptions!B53&lt;&gt;"",IFERROR(DATEVALUE(TEXT(Assumptions!B53,"MM/DD/YYYY")),0)&gt;=DATE(2028,7,1),IFERROR(DATEVALUE(TEXT(Assumptions!B53,"MM/DD/YYYY")),0)&lt;=DATE(2028,7,31)),-(Assumptions!G53+(Assumptions!G53*Assumptions!F53)),0)</f>
        <v/>
      </c>
      <c r="Y21" s="156">
        <f>IF(AND(Assumptions!B53&lt;&gt;"",IFERROR(DATEVALUE(TEXT(Assumptions!B53,"MM/DD/YYYY")),0)&gt;=DATE(2028,8,1),IFERROR(DATEVALUE(TEXT(Assumptions!B53,"MM/DD/YYYY")),0)&lt;=DATE(2028,8,31)),-(Assumptions!G53+(Assumptions!G53*Assumptions!F53)),0)</f>
        <v/>
      </c>
      <c r="Z21" s="156">
        <f>IF(AND(Assumptions!B53&lt;&gt;"",IFERROR(DATEVALUE(TEXT(Assumptions!B53,"MM/DD/YYYY")),0)&gt;=DATE(2028,9,1),IFERROR(DATEVALUE(TEXT(Assumptions!B53,"MM/DD/YYYY")),0)&lt;=DATE(2028,9,30)),-(Assumptions!G53+(Assumptions!G53*Assumptions!F53)),0)</f>
        <v/>
      </c>
      <c r="AA21" s="156">
        <f>IF(AND(Assumptions!B53&lt;&gt;"",IFERROR(DATEVALUE(TEXT(Assumptions!B53,"MM/DD/YYYY")),0)&gt;=DATE(2028,10,1),IFERROR(DATEVALUE(TEXT(Assumptions!B53,"MM/DD/YYYY")),0)&lt;=DATE(2028,10,31)),-(Assumptions!G53+(Assumptions!G53*Assumptions!F53)),0)</f>
        <v/>
      </c>
      <c r="AB21" s="156">
        <f>IF(AND(Assumptions!B53&lt;&gt;"",IFERROR(DATEVALUE(TEXT(Assumptions!B53,"MM/DD/YYYY")),0)&gt;=DATE(2028,11,1),IFERROR(DATEVALUE(TEXT(Assumptions!B53,"MM/DD/YYYY")),0)&lt;=DATE(2028,11,30)),-(Assumptions!G53+(Assumptions!G53*Assumptions!F53)),0)</f>
        <v/>
      </c>
      <c r="AC21" s="156">
        <f>IF(AND(Assumptions!B53&lt;&gt;"",IFERROR(DATEVALUE(TEXT(Assumptions!B53,"MM/DD/YYYY")),0)&gt;=DATE(2028,12,1),IFERROR(DATEVALUE(TEXT(Assumptions!B53,"MM/DD/YYYY")),0)&lt;=DATE(2028,12,31)),-(Assumptions!G53+(Assumptions!G53*Assumptions!F53)),0)</f>
        <v/>
      </c>
      <c r="AD21" s="156">
        <f>IF(AND(Assumptions!B53&lt;&gt;"",IFERROR(DATEVALUE(TEXT(Assumptions!B53,"MM/DD/YYYY")),0)&gt;=DATE(2029,1,1),IFERROR(DATEVALUE(TEXT(Assumptions!B53,"MM/DD/YYYY")),0)&lt;=DATE(2029,1,31)),-(Assumptions!G53+(Assumptions!G53*Assumptions!F53)),0)</f>
        <v/>
      </c>
      <c r="AE21" s="156">
        <f>IF(AND(Assumptions!B53&lt;&gt;"",IFERROR(DATEVALUE(TEXT(Assumptions!B53,"MM/DD/YYYY")),0)&gt;=DATE(2029,2,1),IFERROR(DATEVALUE(TEXT(Assumptions!B53,"MM/DD/YYYY")),0)&lt;=DATE(2029,2,28)),-(Assumptions!G53+(Assumptions!G53*Assumptions!F53)),0)</f>
        <v/>
      </c>
      <c r="AF21" s="156">
        <f>IF(AND(Assumptions!B53&lt;&gt;"",IFERROR(DATEVALUE(TEXT(Assumptions!B53,"MM/DD/YYYY")),0)&gt;=DATE(2029,3,1),IFERROR(DATEVALUE(TEXT(Assumptions!B53,"MM/DD/YYYY")),0)&lt;=DATE(2029,3,31)),-(Assumptions!G53+(Assumptions!G53*Assumptions!F53)),0)</f>
        <v/>
      </c>
      <c r="AG21" s="156">
        <f>IF(AND(Assumptions!B53&lt;&gt;"",IFERROR(DATEVALUE(TEXT(Assumptions!B53,"MM/DD/YYYY")),0)&gt;=DATE(2029,4,1),IFERROR(DATEVALUE(TEXT(Assumptions!B53,"MM/DD/YYYY")),0)&lt;=DATE(2029,4,30)),-(Assumptions!G53+(Assumptions!G53*Assumptions!F53)),0)</f>
        <v/>
      </c>
      <c r="AH21" s="156">
        <f>IF(AND(Assumptions!B53&lt;&gt;"",IFERROR(DATEVALUE(TEXT(Assumptions!B53,"MM/DD/YYYY")),0)&gt;=DATE(2029,5,1),IFERROR(DATEVALUE(TEXT(Assumptions!B53,"MM/DD/YYYY")),0)&lt;=DATE(2029,5,31)),-(Assumptions!G53+(Assumptions!G53*Assumptions!F53)),0)</f>
        <v/>
      </c>
      <c r="AI21" s="156">
        <f>IF(AND(Assumptions!B53&lt;&gt;"",IFERROR(DATEVALUE(TEXT(Assumptions!B53,"MM/DD/YYYY")),0)&gt;=DATE(2029,6,1),IFERROR(DATEVALUE(TEXT(Assumptions!B53,"MM/DD/YYYY")),0)&lt;=DATE(2029,6,30)),-(Assumptions!G53+(Assumptions!G53*Assumptions!F53)),0)</f>
        <v/>
      </c>
      <c r="AJ21" s="156">
        <f>IF(AND(Assumptions!B53&lt;&gt;"",IFERROR(DATEVALUE(TEXT(Assumptions!B53,"MM/DD/YYYY")),0)&gt;=DATE(2029,7,1),IFERROR(DATEVALUE(TEXT(Assumptions!B53,"MM/DD/YYYY")),0)&lt;=DATE(2029,7,31)),-(Assumptions!G53+(Assumptions!G53*Assumptions!F53)),0)</f>
        <v/>
      </c>
      <c r="AK21" s="156">
        <f>IF(AND(Assumptions!B53&lt;&gt;"",IFERROR(DATEVALUE(TEXT(Assumptions!B53,"MM/DD/YYYY")),0)&gt;=DATE(2029,8,1),IFERROR(DATEVALUE(TEXT(Assumptions!B53,"MM/DD/YYYY")),0)&lt;=DATE(2029,8,31)),-(Assumptions!G53+(Assumptions!G53*Assumptions!F53)),0)</f>
        <v/>
      </c>
      <c r="AL21" s="156">
        <f>IF(AND(Assumptions!B53&lt;&gt;"",IFERROR(DATEVALUE(TEXT(Assumptions!B53,"MM/DD/YYYY")),0)&gt;=DATE(2029,9,1),IFERROR(DATEVALUE(TEXT(Assumptions!B53,"MM/DD/YYYY")),0)&lt;=DATE(2029,9,30)),-(Assumptions!G53+(Assumptions!G53*Assumptions!F53)),0)</f>
        <v/>
      </c>
      <c r="AM21" s="156">
        <f>IF(AND(Assumptions!B53&lt;&gt;"",IFERROR(DATEVALUE(TEXT(Assumptions!B53,"MM/DD/YYYY")),0)&gt;=DATE(2029,10,1),IFERROR(DATEVALUE(TEXT(Assumptions!B53,"MM/DD/YYYY")),0)&lt;=DATE(2029,10,31)),-(Assumptions!G53+(Assumptions!G53*Assumptions!F53)),0)</f>
        <v/>
      </c>
      <c r="AN21" s="156">
        <f>IF(AND(Assumptions!B53&lt;&gt;"",IFERROR(DATEVALUE(TEXT(Assumptions!B53,"MM/DD/YYYY")),0)&gt;=DATE(2029,11,1),IFERROR(DATEVALUE(TEXT(Assumptions!B53,"MM/DD/YYYY")),0)&lt;=DATE(2029,11,30)),-(Assumptions!G53+(Assumptions!G53*Assumptions!F53)),0)</f>
        <v/>
      </c>
      <c r="AO21" s="156">
        <f>IF(AND(Assumptions!B53&lt;&gt;"",IFERROR(DATEVALUE(TEXT(Assumptions!B53,"MM/DD/YYYY")),0)&gt;=DATE(2029,12,1),IFERROR(DATEVALUE(TEXT(Assumptions!B53,"MM/DD/YYYY")),0)&lt;=DATE(2029,12,31)),-(Assumptions!G53+(Assumptions!G53*Assumptions!F53)),0)</f>
        <v/>
      </c>
      <c r="AP21" s="156">
        <f>IF(AND(Assumptions!B53&lt;&gt;"",IFERROR(DATEVALUE(TEXT(Assumptions!B53,"MM/DD/YYYY")),0)&gt;=DATE(2030,1,1),IFERROR(DATEVALUE(TEXT(Assumptions!B53,"MM/DD/YYYY")),0)&lt;=DATE(2030,1,31)),-(Assumptions!G53+(Assumptions!G53*Assumptions!F53)),0)</f>
        <v/>
      </c>
      <c r="AQ21" s="156">
        <f>IF(AND(Assumptions!B53&lt;&gt;"",IFERROR(DATEVALUE(TEXT(Assumptions!B53,"MM/DD/YYYY")),0)&gt;=DATE(2030,2,1),IFERROR(DATEVALUE(TEXT(Assumptions!B53,"MM/DD/YYYY")),0)&lt;=DATE(2030,2,28)),-(Assumptions!G53+(Assumptions!G53*Assumptions!F53)),0)</f>
        <v/>
      </c>
      <c r="AR21" s="156">
        <f>IF(AND(Assumptions!B53&lt;&gt;"",IFERROR(DATEVALUE(TEXT(Assumptions!B53,"MM/DD/YYYY")),0)&gt;=DATE(2030,3,1),IFERROR(DATEVALUE(TEXT(Assumptions!B53,"MM/DD/YYYY")),0)&lt;=DATE(2030,3,31)),-(Assumptions!G53+(Assumptions!G53*Assumptions!F53)),0)</f>
        <v/>
      </c>
      <c r="AS21" s="156">
        <f>IF(AND(Assumptions!B53&lt;&gt;"",IFERROR(DATEVALUE(TEXT(Assumptions!B53,"MM/DD/YYYY")),0)&gt;=DATE(2030,4,1),IFERROR(DATEVALUE(TEXT(Assumptions!B53,"MM/DD/YYYY")),0)&lt;=DATE(2030,4,30)),-(Assumptions!G53+(Assumptions!G53*Assumptions!F53)),0)</f>
        <v/>
      </c>
      <c r="AT21" s="156">
        <f>IF(AND(Assumptions!B53&lt;&gt;"",IFERROR(DATEVALUE(TEXT(Assumptions!B53,"MM/DD/YYYY")),0)&gt;=DATE(2030,5,1),IFERROR(DATEVALUE(TEXT(Assumptions!B53,"MM/DD/YYYY")),0)&lt;=DATE(2030,5,31)),-(Assumptions!G53+(Assumptions!G53*Assumptions!F53)),0)</f>
        <v/>
      </c>
      <c r="AU21" s="156">
        <f>IF(AND(Assumptions!B53&lt;&gt;"",IFERROR(DATEVALUE(TEXT(Assumptions!B53,"MM/DD/YYYY")),0)&gt;=DATE(2030,6,1),IFERROR(DATEVALUE(TEXT(Assumptions!B53,"MM/DD/YYYY")),0)&lt;=DATE(2030,6,30)),-(Assumptions!G53+(Assumptions!G53*Assumptions!F53)),0)</f>
        <v/>
      </c>
      <c r="AV21" s="156">
        <f>IF(AND(Assumptions!B53&lt;&gt;"",IFERROR(DATEVALUE(TEXT(Assumptions!B53,"MM/DD/YYYY")),0)&gt;=DATE(2030,7,1),IFERROR(DATEVALUE(TEXT(Assumptions!B53,"MM/DD/YYYY")),0)&lt;=DATE(2030,7,31)),-(Assumptions!G53+(Assumptions!G53*Assumptions!F53)),0)</f>
        <v/>
      </c>
      <c r="AW21" s="156">
        <f>IF(AND(Assumptions!B53&lt;&gt;"",IFERROR(DATEVALUE(TEXT(Assumptions!B53,"MM/DD/YYYY")),0)&gt;=DATE(2030,8,1),IFERROR(DATEVALUE(TEXT(Assumptions!B53,"MM/DD/YYYY")),0)&lt;=DATE(2030,8,31)),-(Assumptions!G53+(Assumptions!G53*Assumptions!F53)),0)</f>
        <v/>
      </c>
      <c r="AX21" s="156">
        <f>IF(AND(Assumptions!B53&lt;&gt;"",IFERROR(DATEVALUE(TEXT(Assumptions!B53,"MM/DD/YYYY")),0)&gt;=DATE(2030,9,1),IFERROR(DATEVALUE(TEXT(Assumptions!B53,"MM/DD/YYYY")),0)&lt;=DATE(2030,9,30)),-(Assumptions!G53+(Assumptions!G53*Assumptions!F53)),0)</f>
        <v/>
      </c>
      <c r="AY21" s="156">
        <f>IF(AND(Assumptions!B53&lt;&gt;"",IFERROR(DATEVALUE(TEXT(Assumptions!B53,"MM/DD/YYYY")),0)&gt;=DATE(2030,10,1),IFERROR(DATEVALUE(TEXT(Assumptions!B53,"MM/DD/YYYY")),0)&lt;=DATE(2030,10,31)),-(Assumptions!G53+(Assumptions!G53*Assumptions!F53)),0)</f>
        <v/>
      </c>
      <c r="AZ21" s="156">
        <f>IF(AND(Assumptions!B53&lt;&gt;"",IFERROR(DATEVALUE(TEXT(Assumptions!B53,"MM/DD/YYYY")),0)&gt;=DATE(2030,11,1),IFERROR(DATEVALUE(TEXT(Assumptions!B53,"MM/DD/YYYY")),0)&lt;=DATE(2030,11,30)),-(Assumptions!G53+(Assumptions!G53*Assumptions!F53)),0)</f>
        <v/>
      </c>
      <c r="BA21" s="156">
        <f>IF(AND(Assumptions!B53&lt;&gt;"",IFERROR(DATEVALUE(TEXT(Assumptions!B53,"MM/DD/YYYY")),0)&gt;=DATE(2030,12,1),IFERROR(DATEVALUE(TEXT(Assumptions!B53,"MM/DD/YYYY")),0)&lt;=DATE(2030,12,31)),-(Assumptions!G53+(Assumptions!G53*Assumptions!F53)),0)</f>
        <v/>
      </c>
      <c r="BB21" s="156">
        <f>IF(AND(Assumptions!B53&lt;&gt;"",IFERROR(DATEVALUE(TEXT(Assumptions!B53,"MM/DD/YYYY")),0)&gt;=DATE(2031,1,1),IFERROR(DATEVALUE(TEXT(Assumptions!B53,"MM/DD/YYYY")),0)&lt;=DATE(2031,1,31)),-(Assumptions!G53+(Assumptions!G53*Assumptions!F53)),0)</f>
        <v/>
      </c>
      <c r="BC21" s="156">
        <f>IF(AND(Assumptions!B53&lt;&gt;"",IFERROR(DATEVALUE(TEXT(Assumptions!B53,"MM/DD/YYYY")),0)&gt;=DATE(2031,2,1),IFERROR(DATEVALUE(TEXT(Assumptions!B53,"MM/DD/YYYY")),0)&lt;=DATE(2031,2,28)),-(Assumptions!G53+(Assumptions!G53*Assumptions!F53)),0)</f>
        <v/>
      </c>
      <c r="BD21" s="156">
        <f>IF(AND(Assumptions!B53&lt;&gt;"",IFERROR(DATEVALUE(TEXT(Assumptions!B53,"MM/DD/YYYY")),0)&gt;=DATE(2031,3,1),IFERROR(DATEVALUE(TEXT(Assumptions!B53,"MM/DD/YYYY")),0)&lt;=DATE(2031,3,31)),-(Assumptions!G53+(Assumptions!G53*Assumptions!F53)),0)</f>
        <v/>
      </c>
      <c r="BE21" s="156">
        <f>IF(AND(Assumptions!B53&lt;&gt;"",IFERROR(DATEVALUE(TEXT(Assumptions!B53,"MM/DD/YYYY")),0)&gt;=DATE(2031,4,1),IFERROR(DATEVALUE(TEXT(Assumptions!B53,"MM/DD/YYYY")),0)&lt;=DATE(2031,4,30)),-(Assumptions!G53+(Assumptions!G53*Assumptions!F53)),0)</f>
        <v/>
      </c>
      <c r="BF21" s="156">
        <f>IF(AND(Assumptions!B53&lt;&gt;"",IFERROR(DATEVALUE(TEXT(Assumptions!B53,"MM/DD/YYYY")),0)&gt;=DATE(2031,5,1),IFERROR(DATEVALUE(TEXT(Assumptions!B53,"MM/DD/YYYY")),0)&lt;=DATE(2031,5,31)),-(Assumptions!G53+(Assumptions!G53*Assumptions!F53)),0)</f>
        <v/>
      </c>
      <c r="BG21" s="156">
        <f>IF(AND(Assumptions!B53&lt;&gt;"",IFERROR(DATEVALUE(TEXT(Assumptions!B53,"MM/DD/YYYY")),0)&gt;=DATE(2031,6,1),IFERROR(DATEVALUE(TEXT(Assumptions!B53,"MM/DD/YYYY")),0)&lt;=DATE(2031,6,30)),-(Assumptions!G53+(Assumptions!G53*Assumptions!F53)),0)</f>
        <v/>
      </c>
      <c r="BH21" s="156">
        <f>IF(AND(Assumptions!B53&lt;&gt;"",IFERROR(DATEVALUE(TEXT(Assumptions!B53,"MM/DD/YYYY")),0)&gt;=DATE(2031,7,1),IFERROR(DATEVALUE(TEXT(Assumptions!B53,"MM/DD/YYYY")),0)&lt;=DATE(2031,7,31)),-(Assumptions!G53+(Assumptions!G53*Assumptions!F53)),0)</f>
        <v/>
      </c>
      <c r="BI21" s="156">
        <f>IF(AND(Assumptions!B53&lt;&gt;"",IFERROR(DATEVALUE(TEXT(Assumptions!B53,"MM/DD/YYYY")),0)&gt;=DATE(2031,8,1),IFERROR(DATEVALUE(TEXT(Assumptions!B53,"MM/DD/YYYY")),0)&lt;=DATE(2031,8,31)),-(Assumptions!G53+(Assumptions!G53*Assumptions!F53)),0)</f>
        <v/>
      </c>
      <c r="BJ21" s="156">
        <f>IF(AND(Assumptions!B53&lt;&gt;"",IFERROR(DATEVALUE(TEXT(Assumptions!B53,"MM/DD/YYYY")),0)&gt;=DATE(2031,9,1),IFERROR(DATEVALUE(TEXT(Assumptions!B53,"MM/DD/YYYY")),0)&lt;=DATE(2031,9,30)),-(Assumptions!G53+(Assumptions!G53*Assumptions!F53)),0)</f>
        <v/>
      </c>
      <c r="BL21" s="157">
        <f>C21+D21+E21+F21+G21+H21+I21+J21+K21+L21+M21+N21</f>
        <v/>
      </c>
      <c r="BM21" s="157">
        <f>O21+P21+Q21+R21+S21+T21+U21+V21+W21+X21+Y21+Z21</f>
        <v/>
      </c>
      <c r="BN21" s="157">
        <f>AA21+AB21+AC21+AD21+AE21+AF21+AG21+AH21+AI21+AJ21+AK21+AL21</f>
        <v/>
      </c>
      <c r="BO21" s="157">
        <f>AM21+AN21+AO21+AP21+AQ21+AR21+AS21+AT21+AU21+AV21+AW21+AX21</f>
        <v/>
      </c>
      <c r="BP21" s="157">
        <f>AY21+AZ21+BA21+BB21+BC21+BD21+BE21+BF21+BG21+BH21+BI21+BJ21</f>
        <v/>
      </c>
    </row>
    <row r="22" ht="15" customHeight="1" s="104">
      <c r="A22" s="107" t="inlineStr">
        <is>
          <t xml:space="preserve">    Add-On 4 Acquisition (TEV + Transaction Fees)</t>
        </is>
      </c>
      <c r="C22" s="156">
        <f>IF(AND(Assumptions!B54&lt;&gt;"",IFERROR(DATEVALUE(TEXT(Assumptions!B54,"MM/DD/YYYY")),0)&gt;=DATE(2026,10,1),IFERROR(DATEVALUE(TEXT(Assumptions!B54,"MM/DD/YYYY")),0)&lt;=DATE(2026,10,31)),-(Assumptions!G54+(Assumptions!G54*Assumptions!F54)),0)</f>
        <v/>
      </c>
      <c r="D22" s="156">
        <f>IF(AND(Assumptions!B54&lt;&gt;"",IFERROR(DATEVALUE(TEXT(Assumptions!B54,"MM/DD/YYYY")),0)&gt;=DATE(2026,11,1),IFERROR(DATEVALUE(TEXT(Assumptions!B54,"MM/DD/YYYY")),0)&lt;=DATE(2026,11,30)),-(Assumptions!G54+(Assumptions!G54*Assumptions!F54)),0)</f>
        <v/>
      </c>
      <c r="E22" s="156">
        <f>IF(AND(Assumptions!B54&lt;&gt;"",IFERROR(DATEVALUE(TEXT(Assumptions!B54,"MM/DD/YYYY")),0)&gt;=DATE(2026,12,1),IFERROR(DATEVALUE(TEXT(Assumptions!B54,"MM/DD/YYYY")),0)&lt;=DATE(2026,12,31)),-(Assumptions!G54+(Assumptions!G54*Assumptions!F54)),0)</f>
        <v/>
      </c>
      <c r="F22" s="156">
        <f>IF(AND(Assumptions!B54&lt;&gt;"",IFERROR(DATEVALUE(TEXT(Assumptions!B54,"MM/DD/YYYY")),0)&gt;=DATE(2027,1,1),IFERROR(DATEVALUE(TEXT(Assumptions!B54,"MM/DD/YYYY")),0)&lt;=DATE(2027,1,31)),-(Assumptions!G54+(Assumptions!G54*Assumptions!F54)),0)</f>
        <v/>
      </c>
      <c r="G22" s="156">
        <f>IF(AND(Assumptions!B54&lt;&gt;"",IFERROR(DATEVALUE(TEXT(Assumptions!B54,"MM/DD/YYYY")),0)&gt;=DATE(2027,2,1),IFERROR(DATEVALUE(TEXT(Assumptions!B54,"MM/DD/YYYY")),0)&lt;=DATE(2027,2,28)),-(Assumptions!G54+(Assumptions!G54*Assumptions!F54)),0)</f>
        <v/>
      </c>
      <c r="H22" s="156">
        <f>IF(AND(Assumptions!B54&lt;&gt;"",IFERROR(DATEVALUE(TEXT(Assumptions!B54,"MM/DD/YYYY")),0)&gt;=DATE(2027,3,1),IFERROR(DATEVALUE(TEXT(Assumptions!B54,"MM/DD/YYYY")),0)&lt;=DATE(2027,3,31)),-(Assumptions!G54+(Assumptions!G54*Assumptions!F54)),0)</f>
        <v/>
      </c>
      <c r="I22" s="156">
        <f>IF(AND(Assumptions!B54&lt;&gt;"",IFERROR(DATEVALUE(TEXT(Assumptions!B54,"MM/DD/YYYY")),0)&gt;=DATE(2027,4,1),IFERROR(DATEVALUE(TEXT(Assumptions!B54,"MM/DD/YYYY")),0)&lt;=DATE(2027,4,30)),-(Assumptions!G54+(Assumptions!G54*Assumptions!F54)),0)</f>
        <v/>
      </c>
      <c r="J22" s="156">
        <f>IF(AND(Assumptions!B54&lt;&gt;"",IFERROR(DATEVALUE(TEXT(Assumptions!B54,"MM/DD/YYYY")),0)&gt;=DATE(2027,5,1),IFERROR(DATEVALUE(TEXT(Assumptions!B54,"MM/DD/YYYY")),0)&lt;=DATE(2027,5,31)),-(Assumptions!G54+(Assumptions!G54*Assumptions!F54)),0)</f>
        <v/>
      </c>
      <c r="K22" s="156">
        <f>IF(AND(Assumptions!B54&lt;&gt;"",IFERROR(DATEVALUE(TEXT(Assumptions!B54,"MM/DD/YYYY")),0)&gt;=DATE(2027,6,1),IFERROR(DATEVALUE(TEXT(Assumptions!B54,"MM/DD/YYYY")),0)&lt;=DATE(2027,6,30)),-(Assumptions!G54+(Assumptions!G54*Assumptions!F54)),0)</f>
        <v/>
      </c>
      <c r="L22" s="156">
        <f>IF(AND(Assumptions!B54&lt;&gt;"",IFERROR(DATEVALUE(TEXT(Assumptions!B54,"MM/DD/YYYY")),0)&gt;=DATE(2027,7,1),IFERROR(DATEVALUE(TEXT(Assumptions!B54,"MM/DD/YYYY")),0)&lt;=DATE(2027,7,31)),-(Assumptions!G54+(Assumptions!G54*Assumptions!F54)),0)</f>
        <v/>
      </c>
      <c r="M22" s="156">
        <f>IF(AND(Assumptions!B54&lt;&gt;"",IFERROR(DATEVALUE(TEXT(Assumptions!B54,"MM/DD/YYYY")),0)&gt;=DATE(2027,8,1),IFERROR(DATEVALUE(TEXT(Assumptions!B54,"MM/DD/YYYY")),0)&lt;=DATE(2027,8,31)),-(Assumptions!G54+(Assumptions!G54*Assumptions!F54)),0)</f>
        <v/>
      </c>
      <c r="N22" s="156">
        <f>IF(AND(Assumptions!B54&lt;&gt;"",IFERROR(DATEVALUE(TEXT(Assumptions!B54,"MM/DD/YYYY")),0)&gt;=DATE(2027,9,1),IFERROR(DATEVALUE(TEXT(Assumptions!B54,"MM/DD/YYYY")),0)&lt;=DATE(2027,9,30)),-(Assumptions!G54+(Assumptions!G54*Assumptions!F54)),0)</f>
        <v/>
      </c>
      <c r="O22" s="156">
        <f>IF(AND(Assumptions!B54&lt;&gt;"",IFERROR(DATEVALUE(TEXT(Assumptions!B54,"MM/DD/YYYY")),0)&gt;=DATE(2027,10,1),IFERROR(DATEVALUE(TEXT(Assumptions!B54,"MM/DD/YYYY")),0)&lt;=DATE(2027,10,31)),-(Assumptions!G54+(Assumptions!G54*Assumptions!F54)),0)</f>
        <v/>
      </c>
      <c r="P22" s="156">
        <f>IF(AND(Assumptions!B54&lt;&gt;"",IFERROR(DATEVALUE(TEXT(Assumptions!B54,"MM/DD/YYYY")),0)&gt;=DATE(2027,11,1),IFERROR(DATEVALUE(TEXT(Assumptions!B54,"MM/DD/YYYY")),0)&lt;=DATE(2027,11,30)),-(Assumptions!G54+(Assumptions!G54*Assumptions!F54)),0)</f>
        <v/>
      </c>
      <c r="Q22" s="156">
        <f>IF(AND(Assumptions!B54&lt;&gt;"",IFERROR(DATEVALUE(TEXT(Assumptions!B54,"MM/DD/YYYY")),0)&gt;=DATE(2027,12,1),IFERROR(DATEVALUE(TEXT(Assumptions!B54,"MM/DD/YYYY")),0)&lt;=DATE(2027,12,31)),-(Assumptions!G54+(Assumptions!G54*Assumptions!F54)),0)</f>
        <v/>
      </c>
      <c r="R22" s="156">
        <f>IF(AND(Assumptions!B54&lt;&gt;"",IFERROR(DATEVALUE(TEXT(Assumptions!B54,"MM/DD/YYYY")),0)&gt;=DATE(2028,1,1),IFERROR(DATEVALUE(TEXT(Assumptions!B54,"MM/DD/YYYY")),0)&lt;=DATE(2028,1,31)),-(Assumptions!G54+(Assumptions!G54*Assumptions!F54)),0)</f>
        <v/>
      </c>
      <c r="S22" s="156">
        <f>IF(AND(Assumptions!B54&lt;&gt;"",IFERROR(DATEVALUE(TEXT(Assumptions!B54,"MM/DD/YYYY")),0)&gt;=DATE(2028,2,1),IFERROR(DATEVALUE(TEXT(Assumptions!B54,"MM/DD/YYYY")),0)&lt;=DATE(2028,2,29)),-(Assumptions!G54+(Assumptions!G54*Assumptions!F54)),0)</f>
        <v/>
      </c>
      <c r="T22" s="156">
        <f>IF(AND(Assumptions!B54&lt;&gt;"",IFERROR(DATEVALUE(TEXT(Assumptions!B54,"MM/DD/YYYY")),0)&gt;=DATE(2028,3,1),IFERROR(DATEVALUE(TEXT(Assumptions!B54,"MM/DD/YYYY")),0)&lt;=DATE(2028,3,31)),-(Assumptions!G54+(Assumptions!G54*Assumptions!F54)),0)</f>
        <v/>
      </c>
      <c r="U22" s="156">
        <f>IF(AND(Assumptions!B54&lt;&gt;"",IFERROR(DATEVALUE(TEXT(Assumptions!B54,"MM/DD/YYYY")),0)&gt;=DATE(2028,4,1),IFERROR(DATEVALUE(TEXT(Assumptions!B54,"MM/DD/YYYY")),0)&lt;=DATE(2028,4,30)),-(Assumptions!G54+(Assumptions!G54*Assumptions!F54)),0)</f>
        <v/>
      </c>
      <c r="V22" s="156">
        <f>IF(AND(Assumptions!B54&lt;&gt;"",IFERROR(DATEVALUE(TEXT(Assumptions!B54,"MM/DD/YYYY")),0)&gt;=DATE(2028,5,1),IFERROR(DATEVALUE(TEXT(Assumptions!B54,"MM/DD/YYYY")),0)&lt;=DATE(2028,5,31)),-(Assumptions!G54+(Assumptions!G54*Assumptions!F54)),0)</f>
        <v/>
      </c>
      <c r="W22" s="156">
        <f>IF(AND(Assumptions!B54&lt;&gt;"",IFERROR(DATEVALUE(TEXT(Assumptions!B54,"MM/DD/YYYY")),0)&gt;=DATE(2028,6,1),IFERROR(DATEVALUE(TEXT(Assumptions!B54,"MM/DD/YYYY")),0)&lt;=DATE(2028,6,30)),-(Assumptions!G54+(Assumptions!G54*Assumptions!F54)),0)</f>
        <v/>
      </c>
      <c r="X22" s="156">
        <f>IF(AND(Assumptions!B54&lt;&gt;"",IFERROR(DATEVALUE(TEXT(Assumptions!B54,"MM/DD/YYYY")),0)&gt;=DATE(2028,7,1),IFERROR(DATEVALUE(TEXT(Assumptions!B54,"MM/DD/YYYY")),0)&lt;=DATE(2028,7,31)),-(Assumptions!G54+(Assumptions!G54*Assumptions!F54)),0)</f>
        <v/>
      </c>
      <c r="Y22" s="156">
        <f>IF(AND(Assumptions!B54&lt;&gt;"",IFERROR(DATEVALUE(TEXT(Assumptions!B54,"MM/DD/YYYY")),0)&gt;=DATE(2028,8,1),IFERROR(DATEVALUE(TEXT(Assumptions!B54,"MM/DD/YYYY")),0)&lt;=DATE(2028,8,31)),-(Assumptions!G54+(Assumptions!G54*Assumptions!F54)),0)</f>
        <v/>
      </c>
      <c r="Z22" s="156">
        <f>IF(AND(Assumptions!B54&lt;&gt;"",IFERROR(DATEVALUE(TEXT(Assumptions!B54,"MM/DD/YYYY")),0)&gt;=DATE(2028,9,1),IFERROR(DATEVALUE(TEXT(Assumptions!B54,"MM/DD/YYYY")),0)&lt;=DATE(2028,9,30)),-(Assumptions!G54+(Assumptions!G54*Assumptions!F54)),0)</f>
        <v/>
      </c>
      <c r="AA22" s="156">
        <f>IF(AND(Assumptions!B54&lt;&gt;"",IFERROR(DATEVALUE(TEXT(Assumptions!B54,"MM/DD/YYYY")),0)&gt;=DATE(2028,10,1),IFERROR(DATEVALUE(TEXT(Assumptions!B54,"MM/DD/YYYY")),0)&lt;=DATE(2028,10,31)),-(Assumptions!G54+(Assumptions!G54*Assumptions!F54)),0)</f>
        <v/>
      </c>
      <c r="AB22" s="156">
        <f>IF(AND(Assumptions!B54&lt;&gt;"",IFERROR(DATEVALUE(TEXT(Assumptions!B54,"MM/DD/YYYY")),0)&gt;=DATE(2028,11,1),IFERROR(DATEVALUE(TEXT(Assumptions!B54,"MM/DD/YYYY")),0)&lt;=DATE(2028,11,30)),-(Assumptions!G54+(Assumptions!G54*Assumptions!F54)),0)</f>
        <v/>
      </c>
      <c r="AC22" s="156">
        <f>IF(AND(Assumptions!B54&lt;&gt;"",IFERROR(DATEVALUE(TEXT(Assumptions!B54,"MM/DD/YYYY")),0)&gt;=DATE(2028,12,1),IFERROR(DATEVALUE(TEXT(Assumptions!B54,"MM/DD/YYYY")),0)&lt;=DATE(2028,12,31)),-(Assumptions!G54+(Assumptions!G54*Assumptions!F54)),0)</f>
        <v/>
      </c>
      <c r="AD22" s="156">
        <f>IF(AND(Assumptions!B54&lt;&gt;"",IFERROR(DATEVALUE(TEXT(Assumptions!B54,"MM/DD/YYYY")),0)&gt;=DATE(2029,1,1),IFERROR(DATEVALUE(TEXT(Assumptions!B54,"MM/DD/YYYY")),0)&lt;=DATE(2029,1,31)),-(Assumptions!G54+(Assumptions!G54*Assumptions!F54)),0)</f>
        <v/>
      </c>
      <c r="AE22" s="156">
        <f>IF(AND(Assumptions!B54&lt;&gt;"",IFERROR(DATEVALUE(TEXT(Assumptions!B54,"MM/DD/YYYY")),0)&gt;=DATE(2029,2,1),IFERROR(DATEVALUE(TEXT(Assumptions!B54,"MM/DD/YYYY")),0)&lt;=DATE(2029,2,28)),-(Assumptions!G54+(Assumptions!G54*Assumptions!F54)),0)</f>
        <v/>
      </c>
      <c r="AF22" s="156">
        <f>IF(AND(Assumptions!B54&lt;&gt;"",IFERROR(DATEVALUE(TEXT(Assumptions!B54,"MM/DD/YYYY")),0)&gt;=DATE(2029,3,1),IFERROR(DATEVALUE(TEXT(Assumptions!B54,"MM/DD/YYYY")),0)&lt;=DATE(2029,3,31)),-(Assumptions!G54+(Assumptions!G54*Assumptions!F54)),0)</f>
        <v/>
      </c>
      <c r="AG22" s="156">
        <f>IF(AND(Assumptions!B54&lt;&gt;"",IFERROR(DATEVALUE(TEXT(Assumptions!B54,"MM/DD/YYYY")),0)&gt;=DATE(2029,4,1),IFERROR(DATEVALUE(TEXT(Assumptions!B54,"MM/DD/YYYY")),0)&lt;=DATE(2029,4,30)),-(Assumptions!G54+(Assumptions!G54*Assumptions!F54)),0)</f>
        <v/>
      </c>
      <c r="AH22" s="156">
        <f>IF(AND(Assumptions!B54&lt;&gt;"",IFERROR(DATEVALUE(TEXT(Assumptions!B54,"MM/DD/YYYY")),0)&gt;=DATE(2029,5,1),IFERROR(DATEVALUE(TEXT(Assumptions!B54,"MM/DD/YYYY")),0)&lt;=DATE(2029,5,31)),-(Assumptions!G54+(Assumptions!G54*Assumptions!F54)),0)</f>
        <v/>
      </c>
      <c r="AI22" s="156">
        <f>IF(AND(Assumptions!B54&lt;&gt;"",IFERROR(DATEVALUE(TEXT(Assumptions!B54,"MM/DD/YYYY")),0)&gt;=DATE(2029,6,1),IFERROR(DATEVALUE(TEXT(Assumptions!B54,"MM/DD/YYYY")),0)&lt;=DATE(2029,6,30)),-(Assumptions!G54+(Assumptions!G54*Assumptions!F54)),0)</f>
        <v/>
      </c>
      <c r="AJ22" s="156">
        <f>IF(AND(Assumptions!B54&lt;&gt;"",IFERROR(DATEVALUE(TEXT(Assumptions!B54,"MM/DD/YYYY")),0)&gt;=DATE(2029,7,1),IFERROR(DATEVALUE(TEXT(Assumptions!B54,"MM/DD/YYYY")),0)&lt;=DATE(2029,7,31)),-(Assumptions!G54+(Assumptions!G54*Assumptions!F54)),0)</f>
        <v/>
      </c>
      <c r="AK22" s="156">
        <f>IF(AND(Assumptions!B54&lt;&gt;"",IFERROR(DATEVALUE(TEXT(Assumptions!B54,"MM/DD/YYYY")),0)&gt;=DATE(2029,8,1),IFERROR(DATEVALUE(TEXT(Assumptions!B54,"MM/DD/YYYY")),0)&lt;=DATE(2029,8,31)),-(Assumptions!G54+(Assumptions!G54*Assumptions!F54)),0)</f>
        <v/>
      </c>
      <c r="AL22" s="156">
        <f>IF(AND(Assumptions!B54&lt;&gt;"",IFERROR(DATEVALUE(TEXT(Assumptions!B54,"MM/DD/YYYY")),0)&gt;=DATE(2029,9,1),IFERROR(DATEVALUE(TEXT(Assumptions!B54,"MM/DD/YYYY")),0)&lt;=DATE(2029,9,30)),-(Assumptions!G54+(Assumptions!G54*Assumptions!F54)),0)</f>
        <v/>
      </c>
      <c r="AM22" s="156">
        <f>IF(AND(Assumptions!B54&lt;&gt;"",IFERROR(DATEVALUE(TEXT(Assumptions!B54,"MM/DD/YYYY")),0)&gt;=DATE(2029,10,1),IFERROR(DATEVALUE(TEXT(Assumptions!B54,"MM/DD/YYYY")),0)&lt;=DATE(2029,10,31)),-(Assumptions!G54+(Assumptions!G54*Assumptions!F54)),0)</f>
        <v/>
      </c>
      <c r="AN22" s="156">
        <f>IF(AND(Assumptions!B54&lt;&gt;"",IFERROR(DATEVALUE(TEXT(Assumptions!B54,"MM/DD/YYYY")),0)&gt;=DATE(2029,11,1),IFERROR(DATEVALUE(TEXT(Assumptions!B54,"MM/DD/YYYY")),0)&lt;=DATE(2029,11,30)),-(Assumptions!G54+(Assumptions!G54*Assumptions!F54)),0)</f>
        <v/>
      </c>
      <c r="AO22" s="156">
        <f>IF(AND(Assumptions!B54&lt;&gt;"",IFERROR(DATEVALUE(TEXT(Assumptions!B54,"MM/DD/YYYY")),0)&gt;=DATE(2029,12,1),IFERROR(DATEVALUE(TEXT(Assumptions!B54,"MM/DD/YYYY")),0)&lt;=DATE(2029,12,31)),-(Assumptions!G54+(Assumptions!G54*Assumptions!F54)),0)</f>
        <v/>
      </c>
      <c r="AP22" s="156">
        <f>IF(AND(Assumptions!B54&lt;&gt;"",IFERROR(DATEVALUE(TEXT(Assumptions!B54,"MM/DD/YYYY")),0)&gt;=DATE(2030,1,1),IFERROR(DATEVALUE(TEXT(Assumptions!B54,"MM/DD/YYYY")),0)&lt;=DATE(2030,1,31)),-(Assumptions!G54+(Assumptions!G54*Assumptions!F54)),0)</f>
        <v/>
      </c>
      <c r="AQ22" s="156">
        <f>IF(AND(Assumptions!B54&lt;&gt;"",IFERROR(DATEVALUE(TEXT(Assumptions!B54,"MM/DD/YYYY")),0)&gt;=DATE(2030,2,1),IFERROR(DATEVALUE(TEXT(Assumptions!B54,"MM/DD/YYYY")),0)&lt;=DATE(2030,2,28)),-(Assumptions!G54+(Assumptions!G54*Assumptions!F54)),0)</f>
        <v/>
      </c>
      <c r="AR22" s="156">
        <f>IF(AND(Assumptions!B54&lt;&gt;"",IFERROR(DATEVALUE(TEXT(Assumptions!B54,"MM/DD/YYYY")),0)&gt;=DATE(2030,3,1),IFERROR(DATEVALUE(TEXT(Assumptions!B54,"MM/DD/YYYY")),0)&lt;=DATE(2030,3,31)),-(Assumptions!G54+(Assumptions!G54*Assumptions!F54)),0)</f>
        <v/>
      </c>
      <c r="AS22" s="156">
        <f>IF(AND(Assumptions!B54&lt;&gt;"",IFERROR(DATEVALUE(TEXT(Assumptions!B54,"MM/DD/YYYY")),0)&gt;=DATE(2030,4,1),IFERROR(DATEVALUE(TEXT(Assumptions!B54,"MM/DD/YYYY")),0)&lt;=DATE(2030,4,30)),-(Assumptions!G54+(Assumptions!G54*Assumptions!F54)),0)</f>
        <v/>
      </c>
      <c r="AT22" s="156">
        <f>IF(AND(Assumptions!B54&lt;&gt;"",IFERROR(DATEVALUE(TEXT(Assumptions!B54,"MM/DD/YYYY")),0)&gt;=DATE(2030,5,1),IFERROR(DATEVALUE(TEXT(Assumptions!B54,"MM/DD/YYYY")),0)&lt;=DATE(2030,5,31)),-(Assumptions!G54+(Assumptions!G54*Assumptions!F54)),0)</f>
        <v/>
      </c>
      <c r="AU22" s="156">
        <f>IF(AND(Assumptions!B54&lt;&gt;"",IFERROR(DATEVALUE(TEXT(Assumptions!B54,"MM/DD/YYYY")),0)&gt;=DATE(2030,6,1),IFERROR(DATEVALUE(TEXT(Assumptions!B54,"MM/DD/YYYY")),0)&lt;=DATE(2030,6,30)),-(Assumptions!G54+(Assumptions!G54*Assumptions!F54)),0)</f>
        <v/>
      </c>
      <c r="AV22" s="156">
        <f>IF(AND(Assumptions!B54&lt;&gt;"",IFERROR(DATEVALUE(TEXT(Assumptions!B54,"MM/DD/YYYY")),0)&gt;=DATE(2030,7,1),IFERROR(DATEVALUE(TEXT(Assumptions!B54,"MM/DD/YYYY")),0)&lt;=DATE(2030,7,31)),-(Assumptions!G54+(Assumptions!G54*Assumptions!F54)),0)</f>
        <v/>
      </c>
      <c r="AW22" s="156">
        <f>IF(AND(Assumptions!B54&lt;&gt;"",IFERROR(DATEVALUE(TEXT(Assumptions!B54,"MM/DD/YYYY")),0)&gt;=DATE(2030,8,1),IFERROR(DATEVALUE(TEXT(Assumptions!B54,"MM/DD/YYYY")),0)&lt;=DATE(2030,8,31)),-(Assumptions!G54+(Assumptions!G54*Assumptions!F54)),0)</f>
        <v/>
      </c>
      <c r="AX22" s="156">
        <f>IF(AND(Assumptions!B54&lt;&gt;"",IFERROR(DATEVALUE(TEXT(Assumptions!B54,"MM/DD/YYYY")),0)&gt;=DATE(2030,9,1),IFERROR(DATEVALUE(TEXT(Assumptions!B54,"MM/DD/YYYY")),0)&lt;=DATE(2030,9,30)),-(Assumptions!G54+(Assumptions!G54*Assumptions!F54)),0)</f>
        <v/>
      </c>
      <c r="AY22" s="156">
        <f>IF(AND(Assumptions!B54&lt;&gt;"",IFERROR(DATEVALUE(TEXT(Assumptions!B54,"MM/DD/YYYY")),0)&gt;=DATE(2030,10,1),IFERROR(DATEVALUE(TEXT(Assumptions!B54,"MM/DD/YYYY")),0)&lt;=DATE(2030,10,31)),-(Assumptions!G54+(Assumptions!G54*Assumptions!F54)),0)</f>
        <v/>
      </c>
      <c r="AZ22" s="156">
        <f>IF(AND(Assumptions!B54&lt;&gt;"",IFERROR(DATEVALUE(TEXT(Assumptions!B54,"MM/DD/YYYY")),0)&gt;=DATE(2030,11,1),IFERROR(DATEVALUE(TEXT(Assumptions!B54,"MM/DD/YYYY")),0)&lt;=DATE(2030,11,30)),-(Assumptions!G54+(Assumptions!G54*Assumptions!F54)),0)</f>
        <v/>
      </c>
      <c r="BA22" s="156">
        <f>IF(AND(Assumptions!B54&lt;&gt;"",IFERROR(DATEVALUE(TEXT(Assumptions!B54,"MM/DD/YYYY")),0)&gt;=DATE(2030,12,1),IFERROR(DATEVALUE(TEXT(Assumptions!B54,"MM/DD/YYYY")),0)&lt;=DATE(2030,12,31)),-(Assumptions!G54+(Assumptions!G54*Assumptions!F54)),0)</f>
        <v/>
      </c>
      <c r="BB22" s="156">
        <f>IF(AND(Assumptions!B54&lt;&gt;"",IFERROR(DATEVALUE(TEXT(Assumptions!B54,"MM/DD/YYYY")),0)&gt;=DATE(2031,1,1),IFERROR(DATEVALUE(TEXT(Assumptions!B54,"MM/DD/YYYY")),0)&lt;=DATE(2031,1,31)),-(Assumptions!G54+(Assumptions!G54*Assumptions!F54)),0)</f>
        <v/>
      </c>
      <c r="BC22" s="156">
        <f>IF(AND(Assumptions!B54&lt;&gt;"",IFERROR(DATEVALUE(TEXT(Assumptions!B54,"MM/DD/YYYY")),0)&gt;=DATE(2031,2,1),IFERROR(DATEVALUE(TEXT(Assumptions!B54,"MM/DD/YYYY")),0)&lt;=DATE(2031,2,28)),-(Assumptions!G54+(Assumptions!G54*Assumptions!F54)),0)</f>
        <v/>
      </c>
      <c r="BD22" s="156">
        <f>IF(AND(Assumptions!B54&lt;&gt;"",IFERROR(DATEVALUE(TEXT(Assumptions!B54,"MM/DD/YYYY")),0)&gt;=DATE(2031,3,1),IFERROR(DATEVALUE(TEXT(Assumptions!B54,"MM/DD/YYYY")),0)&lt;=DATE(2031,3,31)),-(Assumptions!G54+(Assumptions!G54*Assumptions!F54)),0)</f>
        <v/>
      </c>
      <c r="BE22" s="156">
        <f>IF(AND(Assumptions!B54&lt;&gt;"",IFERROR(DATEVALUE(TEXT(Assumptions!B54,"MM/DD/YYYY")),0)&gt;=DATE(2031,4,1),IFERROR(DATEVALUE(TEXT(Assumptions!B54,"MM/DD/YYYY")),0)&lt;=DATE(2031,4,30)),-(Assumptions!G54+(Assumptions!G54*Assumptions!F54)),0)</f>
        <v/>
      </c>
      <c r="BF22" s="156">
        <f>IF(AND(Assumptions!B54&lt;&gt;"",IFERROR(DATEVALUE(TEXT(Assumptions!B54,"MM/DD/YYYY")),0)&gt;=DATE(2031,5,1),IFERROR(DATEVALUE(TEXT(Assumptions!B54,"MM/DD/YYYY")),0)&lt;=DATE(2031,5,31)),-(Assumptions!G54+(Assumptions!G54*Assumptions!F54)),0)</f>
        <v/>
      </c>
      <c r="BG22" s="156">
        <f>IF(AND(Assumptions!B54&lt;&gt;"",IFERROR(DATEVALUE(TEXT(Assumptions!B54,"MM/DD/YYYY")),0)&gt;=DATE(2031,6,1),IFERROR(DATEVALUE(TEXT(Assumptions!B54,"MM/DD/YYYY")),0)&lt;=DATE(2031,6,30)),-(Assumptions!G54+(Assumptions!G54*Assumptions!F54)),0)</f>
        <v/>
      </c>
      <c r="BH22" s="156">
        <f>IF(AND(Assumptions!B54&lt;&gt;"",IFERROR(DATEVALUE(TEXT(Assumptions!B54,"MM/DD/YYYY")),0)&gt;=DATE(2031,7,1),IFERROR(DATEVALUE(TEXT(Assumptions!B54,"MM/DD/YYYY")),0)&lt;=DATE(2031,7,31)),-(Assumptions!G54+(Assumptions!G54*Assumptions!F54)),0)</f>
        <v/>
      </c>
      <c r="BI22" s="156">
        <f>IF(AND(Assumptions!B54&lt;&gt;"",IFERROR(DATEVALUE(TEXT(Assumptions!B54,"MM/DD/YYYY")),0)&gt;=DATE(2031,8,1),IFERROR(DATEVALUE(TEXT(Assumptions!B54,"MM/DD/YYYY")),0)&lt;=DATE(2031,8,31)),-(Assumptions!G54+(Assumptions!G54*Assumptions!F54)),0)</f>
        <v/>
      </c>
      <c r="BJ22" s="156">
        <f>IF(AND(Assumptions!B54&lt;&gt;"",IFERROR(DATEVALUE(TEXT(Assumptions!B54,"MM/DD/YYYY")),0)&gt;=DATE(2031,9,1),IFERROR(DATEVALUE(TEXT(Assumptions!B54,"MM/DD/YYYY")),0)&lt;=DATE(2031,9,30)),-(Assumptions!G54+(Assumptions!G54*Assumptions!F54)),0)</f>
        <v/>
      </c>
      <c r="BL22" s="157">
        <f>C22+D22+E22+F22+G22+H22+I22+J22+K22+L22+M22+N22</f>
        <v/>
      </c>
      <c r="BM22" s="157">
        <f>O22+P22+Q22+R22+S22+T22+U22+V22+W22+X22+Y22+Z22</f>
        <v/>
      </c>
      <c r="BN22" s="157">
        <f>AA22+AB22+AC22+AD22+AE22+AF22+AG22+AH22+AI22+AJ22+AK22+AL22</f>
        <v/>
      </c>
      <c r="BO22" s="157">
        <f>AM22+AN22+AO22+AP22+AQ22+AR22+AS22+AT22+AU22+AV22+AW22+AX22</f>
        <v/>
      </c>
      <c r="BP22" s="157">
        <f>AY22+AZ22+BA22+BB22+BC22+BD22+BE22+BF22+BG22+BH22+BI22+BJ22</f>
        <v/>
      </c>
    </row>
    <row r="23" ht="15" customHeight="1" s="104">
      <c r="A23" s="107" t="inlineStr">
        <is>
          <t xml:space="preserve">    Add-On 5 Acquisition (TEV + Transaction Fees)</t>
        </is>
      </c>
      <c r="C23" s="156">
        <f>IF(AND(Assumptions!B55&lt;&gt;"",IFERROR(DATEVALUE(TEXT(Assumptions!B55,"MM/DD/YYYY")),0)&gt;=DATE(2026,10,1),IFERROR(DATEVALUE(TEXT(Assumptions!B55,"MM/DD/YYYY")),0)&lt;=DATE(2026,10,31)),-(Assumptions!G55+(Assumptions!G55*Assumptions!F55)),0)</f>
        <v/>
      </c>
      <c r="D23" s="156">
        <f>IF(AND(Assumptions!B55&lt;&gt;"",IFERROR(DATEVALUE(TEXT(Assumptions!B55,"MM/DD/YYYY")),0)&gt;=DATE(2026,11,1),IFERROR(DATEVALUE(TEXT(Assumptions!B55,"MM/DD/YYYY")),0)&lt;=DATE(2026,11,30)),-(Assumptions!G55+(Assumptions!G55*Assumptions!F55)),0)</f>
        <v/>
      </c>
      <c r="E23" s="156">
        <f>IF(AND(Assumptions!B55&lt;&gt;"",IFERROR(DATEVALUE(TEXT(Assumptions!B55,"MM/DD/YYYY")),0)&gt;=DATE(2026,12,1),IFERROR(DATEVALUE(TEXT(Assumptions!B55,"MM/DD/YYYY")),0)&lt;=DATE(2026,12,31)),-(Assumptions!G55+(Assumptions!G55*Assumptions!F55)),0)</f>
        <v/>
      </c>
      <c r="F23" s="156">
        <f>IF(AND(Assumptions!B55&lt;&gt;"",IFERROR(DATEVALUE(TEXT(Assumptions!B55,"MM/DD/YYYY")),0)&gt;=DATE(2027,1,1),IFERROR(DATEVALUE(TEXT(Assumptions!B55,"MM/DD/YYYY")),0)&lt;=DATE(2027,1,31)),-(Assumptions!G55+(Assumptions!G55*Assumptions!F55)),0)</f>
        <v/>
      </c>
      <c r="G23" s="156">
        <f>IF(AND(Assumptions!B55&lt;&gt;"",IFERROR(DATEVALUE(TEXT(Assumptions!B55,"MM/DD/YYYY")),0)&gt;=DATE(2027,2,1),IFERROR(DATEVALUE(TEXT(Assumptions!B55,"MM/DD/YYYY")),0)&lt;=DATE(2027,2,28)),-(Assumptions!G55+(Assumptions!G55*Assumptions!F55)),0)</f>
        <v/>
      </c>
      <c r="H23" s="156">
        <f>IF(AND(Assumptions!B55&lt;&gt;"",IFERROR(DATEVALUE(TEXT(Assumptions!B55,"MM/DD/YYYY")),0)&gt;=DATE(2027,3,1),IFERROR(DATEVALUE(TEXT(Assumptions!B55,"MM/DD/YYYY")),0)&lt;=DATE(2027,3,31)),-(Assumptions!G55+(Assumptions!G55*Assumptions!F55)),0)</f>
        <v/>
      </c>
      <c r="I23" s="156">
        <f>IF(AND(Assumptions!B55&lt;&gt;"",IFERROR(DATEVALUE(TEXT(Assumptions!B55,"MM/DD/YYYY")),0)&gt;=DATE(2027,4,1),IFERROR(DATEVALUE(TEXT(Assumptions!B55,"MM/DD/YYYY")),0)&lt;=DATE(2027,4,30)),-(Assumptions!G55+(Assumptions!G55*Assumptions!F55)),0)</f>
        <v/>
      </c>
      <c r="J23" s="156">
        <f>IF(AND(Assumptions!B55&lt;&gt;"",IFERROR(DATEVALUE(TEXT(Assumptions!B55,"MM/DD/YYYY")),0)&gt;=DATE(2027,5,1),IFERROR(DATEVALUE(TEXT(Assumptions!B55,"MM/DD/YYYY")),0)&lt;=DATE(2027,5,31)),-(Assumptions!G55+(Assumptions!G55*Assumptions!F55)),0)</f>
        <v/>
      </c>
      <c r="K23" s="156">
        <f>IF(AND(Assumptions!B55&lt;&gt;"",IFERROR(DATEVALUE(TEXT(Assumptions!B55,"MM/DD/YYYY")),0)&gt;=DATE(2027,6,1),IFERROR(DATEVALUE(TEXT(Assumptions!B55,"MM/DD/YYYY")),0)&lt;=DATE(2027,6,30)),-(Assumptions!G55+(Assumptions!G55*Assumptions!F55)),0)</f>
        <v/>
      </c>
      <c r="L23" s="156">
        <f>IF(AND(Assumptions!B55&lt;&gt;"",IFERROR(DATEVALUE(TEXT(Assumptions!B55,"MM/DD/YYYY")),0)&gt;=DATE(2027,7,1),IFERROR(DATEVALUE(TEXT(Assumptions!B55,"MM/DD/YYYY")),0)&lt;=DATE(2027,7,31)),-(Assumptions!G55+(Assumptions!G55*Assumptions!F55)),0)</f>
        <v/>
      </c>
      <c r="M23" s="156">
        <f>IF(AND(Assumptions!B55&lt;&gt;"",IFERROR(DATEVALUE(TEXT(Assumptions!B55,"MM/DD/YYYY")),0)&gt;=DATE(2027,8,1),IFERROR(DATEVALUE(TEXT(Assumptions!B55,"MM/DD/YYYY")),0)&lt;=DATE(2027,8,31)),-(Assumptions!G55+(Assumptions!G55*Assumptions!F55)),0)</f>
        <v/>
      </c>
      <c r="N23" s="156">
        <f>IF(AND(Assumptions!B55&lt;&gt;"",IFERROR(DATEVALUE(TEXT(Assumptions!B55,"MM/DD/YYYY")),0)&gt;=DATE(2027,9,1),IFERROR(DATEVALUE(TEXT(Assumptions!B55,"MM/DD/YYYY")),0)&lt;=DATE(2027,9,30)),-(Assumptions!G55+(Assumptions!G55*Assumptions!F55)),0)</f>
        <v/>
      </c>
      <c r="O23" s="156">
        <f>IF(AND(Assumptions!B55&lt;&gt;"",IFERROR(DATEVALUE(TEXT(Assumptions!B55,"MM/DD/YYYY")),0)&gt;=DATE(2027,10,1),IFERROR(DATEVALUE(TEXT(Assumptions!B55,"MM/DD/YYYY")),0)&lt;=DATE(2027,10,31)),-(Assumptions!G55+(Assumptions!G55*Assumptions!F55)),0)</f>
        <v/>
      </c>
      <c r="P23" s="156">
        <f>IF(AND(Assumptions!B55&lt;&gt;"",IFERROR(DATEVALUE(TEXT(Assumptions!B55,"MM/DD/YYYY")),0)&gt;=DATE(2027,11,1),IFERROR(DATEVALUE(TEXT(Assumptions!B55,"MM/DD/YYYY")),0)&lt;=DATE(2027,11,30)),-(Assumptions!G55+(Assumptions!G55*Assumptions!F55)),0)</f>
        <v/>
      </c>
      <c r="Q23" s="156">
        <f>IF(AND(Assumptions!B55&lt;&gt;"",IFERROR(DATEVALUE(TEXT(Assumptions!B55,"MM/DD/YYYY")),0)&gt;=DATE(2027,12,1),IFERROR(DATEVALUE(TEXT(Assumptions!B55,"MM/DD/YYYY")),0)&lt;=DATE(2027,12,31)),-(Assumptions!G55+(Assumptions!G55*Assumptions!F55)),0)</f>
        <v/>
      </c>
      <c r="R23" s="156">
        <f>IF(AND(Assumptions!B55&lt;&gt;"",IFERROR(DATEVALUE(TEXT(Assumptions!B55,"MM/DD/YYYY")),0)&gt;=DATE(2028,1,1),IFERROR(DATEVALUE(TEXT(Assumptions!B55,"MM/DD/YYYY")),0)&lt;=DATE(2028,1,31)),-(Assumptions!G55+(Assumptions!G55*Assumptions!F55)),0)</f>
        <v/>
      </c>
      <c r="S23" s="156">
        <f>IF(AND(Assumptions!B55&lt;&gt;"",IFERROR(DATEVALUE(TEXT(Assumptions!B55,"MM/DD/YYYY")),0)&gt;=DATE(2028,2,1),IFERROR(DATEVALUE(TEXT(Assumptions!B55,"MM/DD/YYYY")),0)&lt;=DATE(2028,2,29)),-(Assumptions!G55+(Assumptions!G55*Assumptions!F55)),0)</f>
        <v/>
      </c>
      <c r="T23" s="156">
        <f>IF(AND(Assumptions!B55&lt;&gt;"",IFERROR(DATEVALUE(TEXT(Assumptions!B55,"MM/DD/YYYY")),0)&gt;=DATE(2028,3,1),IFERROR(DATEVALUE(TEXT(Assumptions!B55,"MM/DD/YYYY")),0)&lt;=DATE(2028,3,31)),-(Assumptions!G55+(Assumptions!G55*Assumptions!F55)),0)</f>
        <v/>
      </c>
      <c r="U23" s="156">
        <f>IF(AND(Assumptions!B55&lt;&gt;"",IFERROR(DATEVALUE(TEXT(Assumptions!B55,"MM/DD/YYYY")),0)&gt;=DATE(2028,4,1),IFERROR(DATEVALUE(TEXT(Assumptions!B55,"MM/DD/YYYY")),0)&lt;=DATE(2028,4,30)),-(Assumptions!G55+(Assumptions!G55*Assumptions!F55)),0)</f>
        <v/>
      </c>
      <c r="V23" s="156">
        <f>IF(AND(Assumptions!B55&lt;&gt;"",IFERROR(DATEVALUE(TEXT(Assumptions!B55,"MM/DD/YYYY")),0)&gt;=DATE(2028,5,1),IFERROR(DATEVALUE(TEXT(Assumptions!B55,"MM/DD/YYYY")),0)&lt;=DATE(2028,5,31)),-(Assumptions!G55+(Assumptions!G55*Assumptions!F55)),0)</f>
        <v/>
      </c>
      <c r="W23" s="156">
        <f>IF(AND(Assumptions!B55&lt;&gt;"",IFERROR(DATEVALUE(TEXT(Assumptions!B55,"MM/DD/YYYY")),0)&gt;=DATE(2028,6,1),IFERROR(DATEVALUE(TEXT(Assumptions!B55,"MM/DD/YYYY")),0)&lt;=DATE(2028,6,30)),-(Assumptions!G55+(Assumptions!G55*Assumptions!F55)),0)</f>
        <v/>
      </c>
      <c r="X23" s="156">
        <f>IF(AND(Assumptions!B55&lt;&gt;"",IFERROR(DATEVALUE(TEXT(Assumptions!B55,"MM/DD/YYYY")),0)&gt;=DATE(2028,7,1),IFERROR(DATEVALUE(TEXT(Assumptions!B55,"MM/DD/YYYY")),0)&lt;=DATE(2028,7,31)),-(Assumptions!G55+(Assumptions!G55*Assumptions!F55)),0)</f>
        <v/>
      </c>
      <c r="Y23" s="156">
        <f>IF(AND(Assumptions!B55&lt;&gt;"",IFERROR(DATEVALUE(TEXT(Assumptions!B55,"MM/DD/YYYY")),0)&gt;=DATE(2028,8,1),IFERROR(DATEVALUE(TEXT(Assumptions!B55,"MM/DD/YYYY")),0)&lt;=DATE(2028,8,31)),-(Assumptions!G55+(Assumptions!G55*Assumptions!F55)),0)</f>
        <v/>
      </c>
      <c r="Z23" s="156">
        <f>IF(AND(Assumptions!B55&lt;&gt;"",IFERROR(DATEVALUE(TEXT(Assumptions!B55,"MM/DD/YYYY")),0)&gt;=DATE(2028,9,1),IFERROR(DATEVALUE(TEXT(Assumptions!B55,"MM/DD/YYYY")),0)&lt;=DATE(2028,9,30)),-(Assumptions!G55+(Assumptions!G55*Assumptions!F55)),0)</f>
        <v/>
      </c>
      <c r="AA23" s="156">
        <f>IF(AND(Assumptions!B55&lt;&gt;"",IFERROR(DATEVALUE(TEXT(Assumptions!B55,"MM/DD/YYYY")),0)&gt;=DATE(2028,10,1),IFERROR(DATEVALUE(TEXT(Assumptions!B55,"MM/DD/YYYY")),0)&lt;=DATE(2028,10,31)),-(Assumptions!G55+(Assumptions!G55*Assumptions!F55)),0)</f>
        <v/>
      </c>
      <c r="AB23" s="156">
        <f>IF(AND(Assumptions!B55&lt;&gt;"",IFERROR(DATEVALUE(TEXT(Assumptions!B55,"MM/DD/YYYY")),0)&gt;=DATE(2028,11,1),IFERROR(DATEVALUE(TEXT(Assumptions!B55,"MM/DD/YYYY")),0)&lt;=DATE(2028,11,30)),-(Assumptions!G55+(Assumptions!G55*Assumptions!F55)),0)</f>
        <v/>
      </c>
      <c r="AC23" s="156">
        <f>IF(AND(Assumptions!B55&lt;&gt;"",IFERROR(DATEVALUE(TEXT(Assumptions!B55,"MM/DD/YYYY")),0)&gt;=DATE(2028,12,1),IFERROR(DATEVALUE(TEXT(Assumptions!B55,"MM/DD/YYYY")),0)&lt;=DATE(2028,12,31)),-(Assumptions!G55+(Assumptions!G55*Assumptions!F55)),0)</f>
        <v/>
      </c>
      <c r="AD23" s="156">
        <f>IF(AND(Assumptions!B55&lt;&gt;"",IFERROR(DATEVALUE(TEXT(Assumptions!B55,"MM/DD/YYYY")),0)&gt;=DATE(2029,1,1),IFERROR(DATEVALUE(TEXT(Assumptions!B55,"MM/DD/YYYY")),0)&lt;=DATE(2029,1,31)),-(Assumptions!G55+(Assumptions!G55*Assumptions!F55)),0)</f>
        <v/>
      </c>
      <c r="AE23" s="156">
        <f>IF(AND(Assumptions!B55&lt;&gt;"",IFERROR(DATEVALUE(TEXT(Assumptions!B55,"MM/DD/YYYY")),0)&gt;=DATE(2029,2,1),IFERROR(DATEVALUE(TEXT(Assumptions!B55,"MM/DD/YYYY")),0)&lt;=DATE(2029,2,28)),-(Assumptions!G55+(Assumptions!G55*Assumptions!F55)),0)</f>
        <v/>
      </c>
      <c r="AF23" s="156">
        <f>IF(AND(Assumptions!B55&lt;&gt;"",IFERROR(DATEVALUE(TEXT(Assumptions!B55,"MM/DD/YYYY")),0)&gt;=DATE(2029,3,1),IFERROR(DATEVALUE(TEXT(Assumptions!B55,"MM/DD/YYYY")),0)&lt;=DATE(2029,3,31)),-(Assumptions!G55+(Assumptions!G55*Assumptions!F55)),0)</f>
        <v/>
      </c>
      <c r="AG23" s="156">
        <f>IF(AND(Assumptions!B55&lt;&gt;"",IFERROR(DATEVALUE(TEXT(Assumptions!B55,"MM/DD/YYYY")),0)&gt;=DATE(2029,4,1),IFERROR(DATEVALUE(TEXT(Assumptions!B55,"MM/DD/YYYY")),0)&lt;=DATE(2029,4,30)),-(Assumptions!G55+(Assumptions!G55*Assumptions!F55)),0)</f>
        <v/>
      </c>
      <c r="AH23" s="156">
        <f>IF(AND(Assumptions!B55&lt;&gt;"",IFERROR(DATEVALUE(TEXT(Assumptions!B55,"MM/DD/YYYY")),0)&gt;=DATE(2029,5,1),IFERROR(DATEVALUE(TEXT(Assumptions!B55,"MM/DD/YYYY")),0)&lt;=DATE(2029,5,31)),-(Assumptions!G55+(Assumptions!G55*Assumptions!F55)),0)</f>
        <v/>
      </c>
      <c r="AI23" s="156">
        <f>IF(AND(Assumptions!B55&lt;&gt;"",IFERROR(DATEVALUE(TEXT(Assumptions!B55,"MM/DD/YYYY")),0)&gt;=DATE(2029,6,1),IFERROR(DATEVALUE(TEXT(Assumptions!B55,"MM/DD/YYYY")),0)&lt;=DATE(2029,6,30)),-(Assumptions!G55+(Assumptions!G55*Assumptions!F55)),0)</f>
        <v/>
      </c>
      <c r="AJ23" s="156">
        <f>IF(AND(Assumptions!B55&lt;&gt;"",IFERROR(DATEVALUE(TEXT(Assumptions!B55,"MM/DD/YYYY")),0)&gt;=DATE(2029,7,1),IFERROR(DATEVALUE(TEXT(Assumptions!B55,"MM/DD/YYYY")),0)&lt;=DATE(2029,7,31)),-(Assumptions!G55+(Assumptions!G55*Assumptions!F55)),0)</f>
        <v/>
      </c>
      <c r="AK23" s="156">
        <f>IF(AND(Assumptions!B55&lt;&gt;"",IFERROR(DATEVALUE(TEXT(Assumptions!B55,"MM/DD/YYYY")),0)&gt;=DATE(2029,8,1),IFERROR(DATEVALUE(TEXT(Assumptions!B55,"MM/DD/YYYY")),0)&lt;=DATE(2029,8,31)),-(Assumptions!G55+(Assumptions!G55*Assumptions!F55)),0)</f>
        <v/>
      </c>
      <c r="AL23" s="156">
        <f>IF(AND(Assumptions!B55&lt;&gt;"",IFERROR(DATEVALUE(TEXT(Assumptions!B55,"MM/DD/YYYY")),0)&gt;=DATE(2029,9,1),IFERROR(DATEVALUE(TEXT(Assumptions!B55,"MM/DD/YYYY")),0)&lt;=DATE(2029,9,30)),-(Assumptions!G55+(Assumptions!G55*Assumptions!F55)),0)</f>
        <v/>
      </c>
      <c r="AM23" s="156">
        <f>IF(AND(Assumptions!B55&lt;&gt;"",IFERROR(DATEVALUE(TEXT(Assumptions!B55,"MM/DD/YYYY")),0)&gt;=DATE(2029,10,1),IFERROR(DATEVALUE(TEXT(Assumptions!B55,"MM/DD/YYYY")),0)&lt;=DATE(2029,10,31)),-(Assumptions!G55+(Assumptions!G55*Assumptions!F55)),0)</f>
        <v/>
      </c>
      <c r="AN23" s="156">
        <f>IF(AND(Assumptions!B55&lt;&gt;"",IFERROR(DATEVALUE(TEXT(Assumptions!B55,"MM/DD/YYYY")),0)&gt;=DATE(2029,11,1),IFERROR(DATEVALUE(TEXT(Assumptions!B55,"MM/DD/YYYY")),0)&lt;=DATE(2029,11,30)),-(Assumptions!G55+(Assumptions!G55*Assumptions!F55)),0)</f>
        <v/>
      </c>
      <c r="AO23" s="156">
        <f>IF(AND(Assumptions!B55&lt;&gt;"",IFERROR(DATEVALUE(TEXT(Assumptions!B55,"MM/DD/YYYY")),0)&gt;=DATE(2029,12,1),IFERROR(DATEVALUE(TEXT(Assumptions!B55,"MM/DD/YYYY")),0)&lt;=DATE(2029,12,31)),-(Assumptions!G55+(Assumptions!G55*Assumptions!F55)),0)</f>
        <v/>
      </c>
      <c r="AP23" s="156">
        <f>IF(AND(Assumptions!B55&lt;&gt;"",IFERROR(DATEVALUE(TEXT(Assumptions!B55,"MM/DD/YYYY")),0)&gt;=DATE(2030,1,1),IFERROR(DATEVALUE(TEXT(Assumptions!B55,"MM/DD/YYYY")),0)&lt;=DATE(2030,1,31)),-(Assumptions!G55+(Assumptions!G55*Assumptions!F55)),0)</f>
        <v/>
      </c>
      <c r="AQ23" s="156">
        <f>IF(AND(Assumptions!B55&lt;&gt;"",IFERROR(DATEVALUE(TEXT(Assumptions!B55,"MM/DD/YYYY")),0)&gt;=DATE(2030,2,1),IFERROR(DATEVALUE(TEXT(Assumptions!B55,"MM/DD/YYYY")),0)&lt;=DATE(2030,2,28)),-(Assumptions!G55+(Assumptions!G55*Assumptions!F55)),0)</f>
        <v/>
      </c>
      <c r="AR23" s="156">
        <f>IF(AND(Assumptions!B55&lt;&gt;"",IFERROR(DATEVALUE(TEXT(Assumptions!B55,"MM/DD/YYYY")),0)&gt;=DATE(2030,3,1),IFERROR(DATEVALUE(TEXT(Assumptions!B55,"MM/DD/YYYY")),0)&lt;=DATE(2030,3,31)),-(Assumptions!G55+(Assumptions!G55*Assumptions!F55)),0)</f>
        <v/>
      </c>
      <c r="AS23" s="156">
        <f>IF(AND(Assumptions!B55&lt;&gt;"",IFERROR(DATEVALUE(TEXT(Assumptions!B55,"MM/DD/YYYY")),0)&gt;=DATE(2030,4,1),IFERROR(DATEVALUE(TEXT(Assumptions!B55,"MM/DD/YYYY")),0)&lt;=DATE(2030,4,30)),-(Assumptions!G55+(Assumptions!G55*Assumptions!F55)),0)</f>
        <v/>
      </c>
      <c r="AT23" s="156">
        <f>IF(AND(Assumptions!B55&lt;&gt;"",IFERROR(DATEVALUE(TEXT(Assumptions!B55,"MM/DD/YYYY")),0)&gt;=DATE(2030,5,1),IFERROR(DATEVALUE(TEXT(Assumptions!B55,"MM/DD/YYYY")),0)&lt;=DATE(2030,5,31)),-(Assumptions!G55+(Assumptions!G55*Assumptions!F55)),0)</f>
        <v/>
      </c>
      <c r="AU23" s="156">
        <f>IF(AND(Assumptions!B55&lt;&gt;"",IFERROR(DATEVALUE(TEXT(Assumptions!B55,"MM/DD/YYYY")),0)&gt;=DATE(2030,6,1),IFERROR(DATEVALUE(TEXT(Assumptions!B55,"MM/DD/YYYY")),0)&lt;=DATE(2030,6,30)),-(Assumptions!G55+(Assumptions!G55*Assumptions!F55)),0)</f>
        <v/>
      </c>
      <c r="AV23" s="156">
        <f>IF(AND(Assumptions!B55&lt;&gt;"",IFERROR(DATEVALUE(TEXT(Assumptions!B55,"MM/DD/YYYY")),0)&gt;=DATE(2030,7,1),IFERROR(DATEVALUE(TEXT(Assumptions!B55,"MM/DD/YYYY")),0)&lt;=DATE(2030,7,31)),-(Assumptions!G55+(Assumptions!G55*Assumptions!F55)),0)</f>
        <v/>
      </c>
      <c r="AW23" s="156">
        <f>IF(AND(Assumptions!B55&lt;&gt;"",IFERROR(DATEVALUE(TEXT(Assumptions!B55,"MM/DD/YYYY")),0)&gt;=DATE(2030,8,1),IFERROR(DATEVALUE(TEXT(Assumptions!B55,"MM/DD/YYYY")),0)&lt;=DATE(2030,8,31)),-(Assumptions!G55+(Assumptions!G55*Assumptions!F55)),0)</f>
        <v/>
      </c>
      <c r="AX23" s="156">
        <f>IF(AND(Assumptions!B55&lt;&gt;"",IFERROR(DATEVALUE(TEXT(Assumptions!B55,"MM/DD/YYYY")),0)&gt;=DATE(2030,9,1),IFERROR(DATEVALUE(TEXT(Assumptions!B55,"MM/DD/YYYY")),0)&lt;=DATE(2030,9,30)),-(Assumptions!G55+(Assumptions!G55*Assumptions!F55)),0)</f>
        <v/>
      </c>
      <c r="AY23" s="156">
        <f>IF(AND(Assumptions!B55&lt;&gt;"",IFERROR(DATEVALUE(TEXT(Assumptions!B55,"MM/DD/YYYY")),0)&gt;=DATE(2030,10,1),IFERROR(DATEVALUE(TEXT(Assumptions!B55,"MM/DD/YYYY")),0)&lt;=DATE(2030,10,31)),-(Assumptions!G55+(Assumptions!G55*Assumptions!F55)),0)</f>
        <v/>
      </c>
      <c r="AZ23" s="156">
        <f>IF(AND(Assumptions!B55&lt;&gt;"",IFERROR(DATEVALUE(TEXT(Assumptions!B55,"MM/DD/YYYY")),0)&gt;=DATE(2030,11,1),IFERROR(DATEVALUE(TEXT(Assumptions!B55,"MM/DD/YYYY")),0)&lt;=DATE(2030,11,30)),-(Assumptions!G55+(Assumptions!G55*Assumptions!F55)),0)</f>
        <v/>
      </c>
      <c r="BA23" s="156">
        <f>IF(AND(Assumptions!B55&lt;&gt;"",IFERROR(DATEVALUE(TEXT(Assumptions!B55,"MM/DD/YYYY")),0)&gt;=DATE(2030,12,1),IFERROR(DATEVALUE(TEXT(Assumptions!B55,"MM/DD/YYYY")),0)&lt;=DATE(2030,12,31)),-(Assumptions!G55+(Assumptions!G55*Assumptions!F55)),0)</f>
        <v/>
      </c>
      <c r="BB23" s="156">
        <f>IF(AND(Assumptions!B55&lt;&gt;"",IFERROR(DATEVALUE(TEXT(Assumptions!B55,"MM/DD/YYYY")),0)&gt;=DATE(2031,1,1),IFERROR(DATEVALUE(TEXT(Assumptions!B55,"MM/DD/YYYY")),0)&lt;=DATE(2031,1,31)),-(Assumptions!G55+(Assumptions!G55*Assumptions!F55)),0)</f>
        <v/>
      </c>
      <c r="BC23" s="156">
        <f>IF(AND(Assumptions!B55&lt;&gt;"",IFERROR(DATEVALUE(TEXT(Assumptions!B55,"MM/DD/YYYY")),0)&gt;=DATE(2031,2,1),IFERROR(DATEVALUE(TEXT(Assumptions!B55,"MM/DD/YYYY")),0)&lt;=DATE(2031,2,28)),-(Assumptions!G55+(Assumptions!G55*Assumptions!F55)),0)</f>
        <v/>
      </c>
      <c r="BD23" s="156">
        <f>IF(AND(Assumptions!B55&lt;&gt;"",IFERROR(DATEVALUE(TEXT(Assumptions!B55,"MM/DD/YYYY")),0)&gt;=DATE(2031,3,1),IFERROR(DATEVALUE(TEXT(Assumptions!B55,"MM/DD/YYYY")),0)&lt;=DATE(2031,3,31)),-(Assumptions!G55+(Assumptions!G55*Assumptions!F55)),0)</f>
        <v/>
      </c>
      <c r="BE23" s="156">
        <f>IF(AND(Assumptions!B55&lt;&gt;"",IFERROR(DATEVALUE(TEXT(Assumptions!B55,"MM/DD/YYYY")),0)&gt;=DATE(2031,4,1),IFERROR(DATEVALUE(TEXT(Assumptions!B55,"MM/DD/YYYY")),0)&lt;=DATE(2031,4,30)),-(Assumptions!G55+(Assumptions!G55*Assumptions!F55)),0)</f>
        <v/>
      </c>
      <c r="BF23" s="156">
        <f>IF(AND(Assumptions!B55&lt;&gt;"",IFERROR(DATEVALUE(TEXT(Assumptions!B55,"MM/DD/YYYY")),0)&gt;=DATE(2031,5,1),IFERROR(DATEVALUE(TEXT(Assumptions!B55,"MM/DD/YYYY")),0)&lt;=DATE(2031,5,31)),-(Assumptions!G55+(Assumptions!G55*Assumptions!F55)),0)</f>
        <v/>
      </c>
      <c r="BG23" s="156">
        <f>IF(AND(Assumptions!B55&lt;&gt;"",IFERROR(DATEVALUE(TEXT(Assumptions!B55,"MM/DD/YYYY")),0)&gt;=DATE(2031,6,1),IFERROR(DATEVALUE(TEXT(Assumptions!B55,"MM/DD/YYYY")),0)&lt;=DATE(2031,6,30)),-(Assumptions!G55+(Assumptions!G55*Assumptions!F55)),0)</f>
        <v/>
      </c>
      <c r="BH23" s="156">
        <f>IF(AND(Assumptions!B55&lt;&gt;"",IFERROR(DATEVALUE(TEXT(Assumptions!B55,"MM/DD/YYYY")),0)&gt;=DATE(2031,7,1),IFERROR(DATEVALUE(TEXT(Assumptions!B55,"MM/DD/YYYY")),0)&lt;=DATE(2031,7,31)),-(Assumptions!G55+(Assumptions!G55*Assumptions!F55)),0)</f>
        <v/>
      </c>
      <c r="BI23" s="156">
        <f>IF(AND(Assumptions!B55&lt;&gt;"",IFERROR(DATEVALUE(TEXT(Assumptions!B55,"MM/DD/YYYY")),0)&gt;=DATE(2031,8,1),IFERROR(DATEVALUE(TEXT(Assumptions!B55,"MM/DD/YYYY")),0)&lt;=DATE(2031,8,31)),-(Assumptions!G55+(Assumptions!G55*Assumptions!F55)),0)</f>
        <v/>
      </c>
      <c r="BJ23" s="156">
        <f>IF(AND(Assumptions!B55&lt;&gt;"",IFERROR(DATEVALUE(TEXT(Assumptions!B55,"MM/DD/YYYY")),0)&gt;=DATE(2031,9,1),IFERROR(DATEVALUE(TEXT(Assumptions!B55,"MM/DD/YYYY")),0)&lt;=DATE(2031,9,30)),-(Assumptions!G55+(Assumptions!G55*Assumptions!F55)),0)</f>
        <v/>
      </c>
      <c r="BL23" s="157">
        <f>C23+D23+E23+F23+G23+H23+I23+J23+K23+L23+M23+N23</f>
        <v/>
      </c>
      <c r="BM23" s="157">
        <f>O23+P23+Q23+R23+S23+T23+U23+V23+W23+X23+Y23+Z23</f>
        <v/>
      </c>
      <c r="BN23" s="157">
        <f>AA23+AB23+AC23+AD23+AE23+AF23+AG23+AH23+AI23+AJ23+AK23+AL23</f>
        <v/>
      </c>
      <c r="BO23" s="157">
        <f>AM23+AN23+AO23+AP23+AQ23+AR23+AS23+AT23+AU23+AV23+AW23+AX23</f>
        <v/>
      </c>
      <c r="BP23" s="157">
        <f>AY23+AZ23+BA23+BB23+BC23+BD23+BE23+BF23+BG23+BH23+BI23+BJ23</f>
        <v/>
      </c>
    </row>
    <row r="24" ht="15" customHeight="1" s="104">
      <c r="A24" s="107" t="inlineStr">
        <is>
          <t xml:space="preserve">    Add-On 6 Acquisition (TEV + Transaction Fees)</t>
        </is>
      </c>
      <c r="C24" s="156">
        <f>IF(AND(Assumptions!B56&lt;&gt;"",IFERROR(DATEVALUE(TEXT(Assumptions!B56,"MM/DD/YYYY")),0)&gt;=DATE(2026,10,1),IFERROR(DATEVALUE(TEXT(Assumptions!B56,"MM/DD/YYYY")),0)&lt;=DATE(2026,10,31)),-(Assumptions!G56+(Assumptions!G56*Assumptions!F56)),0)</f>
        <v/>
      </c>
      <c r="D24" s="156">
        <f>IF(AND(Assumptions!B56&lt;&gt;"",IFERROR(DATEVALUE(TEXT(Assumptions!B56,"MM/DD/YYYY")),0)&gt;=DATE(2026,11,1),IFERROR(DATEVALUE(TEXT(Assumptions!B56,"MM/DD/YYYY")),0)&lt;=DATE(2026,11,30)),-(Assumptions!G56+(Assumptions!G56*Assumptions!F56)),0)</f>
        <v/>
      </c>
      <c r="E24" s="156">
        <f>IF(AND(Assumptions!B56&lt;&gt;"",IFERROR(DATEVALUE(TEXT(Assumptions!B56,"MM/DD/YYYY")),0)&gt;=DATE(2026,12,1),IFERROR(DATEVALUE(TEXT(Assumptions!B56,"MM/DD/YYYY")),0)&lt;=DATE(2026,12,31)),-(Assumptions!G56+(Assumptions!G56*Assumptions!F56)),0)</f>
        <v/>
      </c>
      <c r="F24" s="156">
        <f>IF(AND(Assumptions!B56&lt;&gt;"",IFERROR(DATEVALUE(TEXT(Assumptions!B56,"MM/DD/YYYY")),0)&gt;=DATE(2027,1,1),IFERROR(DATEVALUE(TEXT(Assumptions!B56,"MM/DD/YYYY")),0)&lt;=DATE(2027,1,31)),-(Assumptions!G56+(Assumptions!G56*Assumptions!F56)),0)</f>
        <v/>
      </c>
      <c r="G24" s="156">
        <f>IF(AND(Assumptions!B56&lt;&gt;"",IFERROR(DATEVALUE(TEXT(Assumptions!B56,"MM/DD/YYYY")),0)&gt;=DATE(2027,2,1),IFERROR(DATEVALUE(TEXT(Assumptions!B56,"MM/DD/YYYY")),0)&lt;=DATE(2027,2,28)),-(Assumptions!G56+(Assumptions!G56*Assumptions!F56)),0)</f>
        <v/>
      </c>
      <c r="H24" s="156">
        <f>IF(AND(Assumptions!B56&lt;&gt;"",IFERROR(DATEVALUE(TEXT(Assumptions!B56,"MM/DD/YYYY")),0)&gt;=DATE(2027,3,1),IFERROR(DATEVALUE(TEXT(Assumptions!B56,"MM/DD/YYYY")),0)&lt;=DATE(2027,3,31)),-(Assumptions!G56+(Assumptions!G56*Assumptions!F56)),0)</f>
        <v/>
      </c>
      <c r="I24" s="156">
        <f>IF(AND(Assumptions!B56&lt;&gt;"",IFERROR(DATEVALUE(TEXT(Assumptions!B56,"MM/DD/YYYY")),0)&gt;=DATE(2027,4,1),IFERROR(DATEVALUE(TEXT(Assumptions!B56,"MM/DD/YYYY")),0)&lt;=DATE(2027,4,30)),-(Assumptions!G56+(Assumptions!G56*Assumptions!F56)),0)</f>
        <v/>
      </c>
      <c r="J24" s="156">
        <f>IF(AND(Assumptions!B56&lt;&gt;"",IFERROR(DATEVALUE(TEXT(Assumptions!B56,"MM/DD/YYYY")),0)&gt;=DATE(2027,5,1),IFERROR(DATEVALUE(TEXT(Assumptions!B56,"MM/DD/YYYY")),0)&lt;=DATE(2027,5,31)),-(Assumptions!G56+(Assumptions!G56*Assumptions!F56)),0)</f>
        <v/>
      </c>
      <c r="K24" s="156">
        <f>IF(AND(Assumptions!B56&lt;&gt;"",IFERROR(DATEVALUE(TEXT(Assumptions!B56,"MM/DD/YYYY")),0)&gt;=DATE(2027,6,1),IFERROR(DATEVALUE(TEXT(Assumptions!B56,"MM/DD/YYYY")),0)&lt;=DATE(2027,6,30)),-(Assumptions!G56+(Assumptions!G56*Assumptions!F56)),0)</f>
        <v/>
      </c>
      <c r="L24" s="156">
        <f>IF(AND(Assumptions!B56&lt;&gt;"",IFERROR(DATEVALUE(TEXT(Assumptions!B56,"MM/DD/YYYY")),0)&gt;=DATE(2027,7,1),IFERROR(DATEVALUE(TEXT(Assumptions!B56,"MM/DD/YYYY")),0)&lt;=DATE(2027,7,31)),-(Assumptions!G56+(Assumptions!G56*Assumptions!F56)),0)</f>
        <v/>
      </c>
      <c r="M24" s="156">
        <f>IF(AND(Assumptions!B56&lt;&gt;"",IFERROR(DATEVALUE(TEXT(Assumptions!B56,"MM/DD/YYYY")),0)&gt;=DATE(2027,8,1),IFERROR(DATEVALUE(TEXT(Assumptions!B56,"MM/DD/YYYY")),0)&lt;=DATE(2027,8,31)),-(Assumptions!G56+(Assumptions!G56*Assumptions!F56)),0)</f>
        <v/>
      </c>
      <c r="N24" s="156">
        <f>IF(AND(Assumptions!B56&lt;&gt;"",IFERROR(DATEVALUE(TEXT(Assumptions!B56,"MM/DD/YYYY")),0)&gt;=DATE(2027,9,1),IFERROR(DATEVALUE(TEXT(Assumptions!B56,"MM/DD/YYYY")),0)&lt;=DATE(2027,9,30)),-(Assumptions!G56+(Assumptions!G56*Assumptions!F56)),0)</f>
        <v/>
      </c>
      <c r="O24" s="156">
        <f>IF(AND(Assumptions!B56&lt;&gt;"",IFERROR(DATEVALUE(TEXT(Assumptions!B56,"MM/DD/YYYY")),0)&gt;=DATE(2027,10,1),IFERROR(DATEVALUE(TEXT(Assumptions!B56,"MM/DD/YYYY")),0)&lt;=DATE(2027,10,31)),-(Assumptions!G56+(Assumptions!G56*Assumptions!F56)),0)</f>
        <v/>
      </c>
      <c r="P24" s="156">
        <f>IF(AND(Assumptions!B56&lt;&gt;"",IFERROR(DATEVALUE(TEXT(Assumptions!B56,"MM/DD/YYYY")),0)&gt;=DATE(2027,11,1),IFERROR(DATEVALUE(TEXT(Assumptions!B56,"MM/DD/YYYY")),0)&lt;=DATE(2027,11,30)),-(Assumptions!G56+(Assumptions!G56*Assumptions!F56)),0)</f>
        <v/>
      </c>
      <c r="Q24" s="156">
        <f>IF(AND(Assumptions!B56&lt;&gt;"",IFERROR(DATEVALUE(TEXT(Assumptions!B56,"MM/DD/YYYY")),0)&gt;=DATE(2027,12,1),IFERROR(DATEVALUE(TEXT(Assumptions!B56,"MM/DD/YYYY")),0)&lt;=DATE(2027,12,31)),-(Assumptions!G56+(Assumptions!G56*Assumptions!F56)),0)</f>
        <v/>
      </c>
      <c r="R24" s="156">
        <f>IF(AND(Assumptions!B56&lt;&gt;"",IFERROR(DATEVALUE(TEXT(Assumptions!B56,"MM/DD/YYYY")),0)&gt;=DATE(2028,1,1),IFERROR(DATEVALUE(TEXT(Assumptions!B56,"MM/DD/YYYY")),0)&lt;=DATE(2028,1,31)),-(Assumptions!G56+(Assumptions!G56*Assumptions!F56)),0)</f>
        <v/>
      </c>
      <c r="S24" s="156">
        <f>IF(AND(Assumptions!B56&lt;&gt;"",IFERROR(DATEVALUE(TEXT(Assumptions!B56,"MM/DD/YYYY")),0)&gt;=DATE(2028,2,1),IFERROR(DATEVALUE(TEXT(Assumptions!B56,"MM/DD/YYYY")),0)&lt;=DATE(2028,2,29)),-(Assumptions!G56+(Assumptions!G56*Assumptions!F56)),0)</f>
        <v/>
      </c>
      <c r="T24" s="156">
        <f>IF(AND(Assumptions!B56&lt;&gt;"",IFERROR(DATEVALUE(TEXT(Assumptions!B56,"MM/DD/YYYY")),0)&gt;=DATE(2028,3,1),IFERROR(DATEVALUE(TEXT(Assumptions!B56,"MM/DD/YYYY")),0)&lt;=DATE(2028,3,31)),-(Assumptions!G56+(Assumptions!G56*Assumptions!F56)),0)</f>
        <v/>
      </c>
      <c r="U24" s="156">
        <f>IF(AND(Assumptions!B56&lt;&gt;"",IFERROR(DATEVALUE(TEXT(Assumptions!B56,"MM/DD/YYYY")),0)&gt;=DATE(2028,4,1),IFERROR(DATEVALUE(TEXT(Assumptions!B56,"MM/DD/YYYY")),0)&lt;=DATE(2028,4,30)),-(Assumptions!G56+(Assumptions!G56*Assumptions!F56)),0)</f>
        <v/>
      </c>
      <c r="V24" s="156">
        <f>IF(AND(Assumptions!B56&lt;&gt;"",IFERROR(DATEVALUE(TEXT(Assumptions!B56,"MM/DD/YYYY")),0)&gt;=DATE(2028,5,1),IFERROR(DATEVALUE(TEXT(Assumptions!B56,"MM/DD/YYYY")),0)&lt;=DATE(2028,5,31)),-(Assumptions!G56+(Assumptions!G56*Assumptions!F56)),0)</f>
        <v/>
      </c>
      <c r="W24" s="156">
        <f>IF(AND(Assumptions!B56&lt;&gt;"",IFERROR(DATEVALUE(TEXT(Assumptions!B56,"MM/DD/YYYY")),0)&gt;=DATE(2028,6,1),IFERROR(DATEVALUE(TEXT(Assumptions!B56,"MM/DD/YYYY")),0)&lt;=DATE(2028,6,30)),-(Assumptions!G56+(Assumptions!G56*Assumptions!F56)),0)</f>
        <v/>
      </c>
      <c r="X24" s="156">
        <f>IF(AND(Assumptions!B56&lt;&gt;"",IFERROR(DATEVALUE(TEXT(Assumptions!B56,"MM/DD/YYYY")),0)&gt;=DATE(2028,7,1),IFERROR(DATEVALUE(TEXT(Assumptions!B56,"MM/DD/YYYY")),0)&lt;=DATE(2028,7,31)),-(Assumptions!G56+(Assumptions!G56*Assumptions!F56)),0)</f>
        <v/>
      </c>
      <c r="Y24" s="156">
        <f>IF(AND(Assumptions!B56&lt;&gt;"",IFERROR(DATEVALUE(TEXT(Assumptions!B56,"MM/DD/YYYY")),0)&gt;=DATE(2028,8,1),IFERROR(DATEVALUE(TEXT(Assumptions!B56,"MM/DD/YYYY")),0)&lt;=DATE(2028,8,31)),-(Assumptions!G56+(Assumptions!G56*Assumptions!F56)),0)</f>
        <v/>
      </c>
      <c r="Z24" s="156">
        <f>IF(AND(Assumptions!B56&lt;&gt;"",IFERROR(DATEVALUE(TEXT(Assumptions!B56,"MM/DD/YYYY")),0)&gt;=DATE(2028,9,1),IFERROR(DATEVALUE(TEXT(Assumptions!B56,"MM/DD/YYYY")),0)&lt;=DATE(2028,9,30)),-(Assumptions!G56+(Assumptions!G56*Assumptions!F56)),0)</f>
        <v/>
      </c>
      <c r="AA24" s="156">
        <f>IF(AND(Assumptions!B56&lt;&gt;"",IFERROR(DATEVALUE(TEXT(Assumptions!B56,"MM/DD/YYYY")),0)&gt;=DATE(2028,10,1),IFERROR(DATEVALUE(TEXT(Assumptions!B56,"MM/DD/YYYY")),0)&lt;=DATE(2028,10,31)),-(Assumptions!G56+(Assumptions!G56*Assumptions!F56)),0)</f>
        <v/>
      </c>
      <c r="AB24" s="156">
        <f>IF(AND(Assumptions!B56&lt;&gt;"",IFERROR(DATEVALUE(TEXT(Assumptions!B56,"MM/DD/YYYY")),0)&gt;=DATE(2028,11,1),IFERROR(DATEVALUE(TEXT(Assumptions!B56,"MM/DD/YYYY")),0)&lt;=DATE(2028,11,30)),-(Assumptions!G56+(Assumptions!G56*Assumptions!F56)),0)</f>
        <v/>
      </c>
      <c r="AC24" s="156">
        <f>IF(AND(Assumptions!B56&lt;&gt;"",IFERROR(DATEVALUE(TEXT(Assumptions!B56,"MM/DD/YYYY")),0)&gt;=DATE(2028,12,1),IFERROR(DATEVALUE(TEXT(Assumptions!B56,"MM/DD/YYYY")),0)&lt;=DATE(2028,12,31)),-(Assumptions!G56+(Assumptions!G56*Assumptions!F56)),0)</f>
        <v/>
      </c>
      <c r="AD24" s="156">
        <f>IF(AND(Assumptions!B56&lt;&gt;"",IFERROR(DATEVALUE(TEXT(Assumptions!B56,"MM/DD/YYYY")),0)&gt;=DATE(2029,1,1),IFERROR(DATEVALUE(TEXT(Assumptions!B56,"MM/DD/YYYY")),0)&lt;=DATE(2029,1,31)),-(Assumptions!G56+(Assumptions!G56*Assumptions!F56)),0)</f>
        <v/>
      </c>
      <c r="AE24" s="156">
        <f>IF(AND(Assumptions!B56&lt;&gt;"",IFERROR(DATEVALUE(TEXT(Assumptions!B56,"MM/DD/YYYY")),0)&gt;=DATE(2029,2,1),IFERROR(DATEVALUE(TEXT(Assumptions!B56,"MM/DD/YYYY")),0)&lt;=DATE(2029,2,28)),-(Assumptions!G56+(Assumptions!G56*Assumptions!F56)),0)</f>
        <v/>
      </c>
      <c r="AF24" s="156">
        <f>IF(AND(Assumptions!B56&lt;&gt;"",IFERROR(DATEVALUE(TEXT(Assumptions!B56,"MM/DD/YYYY")),0)&gt;=DATE(2029,3,1),IFERROR(DATEVALUE(TEXT(Assumptions!B56,"MM/DD/YYYY")),0)&lt;=DATE(2029,3,31)),-(Assumptions!G56+(Assumptions!G56*Assumptions!F56)),0)</f>
        <v/>
      </c>
      <c r="AG24" s="156">
        <f>IF(AND(Assumptions!B56&lt;&gt;"",IFERROR(DATEVALUE(TEXT(Assumptions!B56,"MM/DD/YYYY")),0)&gt;=DATE(2029,4,1),IFERROR(DATEVALUE(TEXT(Assumptions!B56,"MM/DD/YYYY")),0)&lt;=DATE(2029,4,30)),-(Assumptions!G56+(Assumptions!G56*Assumptions!F56)),0)</f>
        <v/>
      </c>
      <c r="AH24" s="156">
        <f>IF(AND(Assumptions!B56&lt;&gt;"",IFERROR(DATEVALUE(TEXT(Assumptions!B56,"MM/DD/YYYY")),0)&gt;=DATE(2029,5,1),IFERROR(DATEVALUE(TEXT(Assumptions!B56,"MM/DD/YYYY")),0)&lt;=DATE(2029,5,31)),-(Assumptions!G56+(Assumptions!G56*Assumptions!F56)),0)</f>
        <v/>
      </c>
      <c r="AI24" s="156">
        <f>IF(AND(Assumptions!B56&lt;&gt;"",IFERROR(DATEVALUE(TEXT(Assumptions!B56,"MM/DD/YYYY")),0)&gt;=DATE(2029,6,1),IFERROR(DATEVALUE(TEXT(Assumptions!B56,"MM/DD/YYYY")),0)&lt;=DATE(2029,6,30)),-(Assumptions!G56+(Assumptions!G56*Assumptions!F56)),0)</f>
        <v/>
      </c>
      <c r="AJ24" s="156">
        <f>IF(AND(Assumptions!B56&lt;&gt;"",IFERROR(DATEVALUE(TEXT(Assumptions!B56,"MM/DD/YYYY")),0)&gt;=DATE(2029,7,1),IFERROR(DATEVALUE(TEXT(Assumptions!B56,"MM/DD/YYYY")),0)&lt;=DATE(2029,7,31)),-(Assumptions!G56+(Assumptions!G56*Assumptions!F56)),0)</f>
        <v/>
      </c>
      <c r="AK24" s="156">
        <f>IF(AND(Assumptions!B56&lt;&gt;"",IFERROR(DATEVALUE(TEXT(Assumptions!B56,"MM/DD/YYYY")),0)&gt;=DATE(2029,8,1),IFERROR(DATEVALUE(TEXT(Assumptions!B56,"MM/DD/YYYY")),0)&lt;=DATE(2029,8,31)),-(Assumptions!G56+(Assumptions!G56*Assumptions!F56)),0)</f>
        <v/>
      </c>
      <c r="AL24" s="156">
        <f>IF(AND(Assumptions!B56&lt;&gt;"",IFERROR(DATEVALUE(TEXT(Assumptions!B56,"MM/DD/YYYY")),0)&gt;=DATE(2029,9,1),IFERROR(DATEVALUE(TEXT(Assumptions!B56,"MM/DD/YYYY")),0)&lt;=DATE(2029,9,30)),-(Assumptions!G56+(Assumptions!G56*Assumptions!F56)),0)</f>
        <v/>
      </c>
      <c r="AM24" s="156">
        <f>IF(AND(Assumptions!B56&lt;&gt;"",IFERROR(DATEVALUE(TEXT(Assumptions!B56,"MM/DD/YYYY")),0)&gt;=DATE(2029,10,1),IFERROR(DATEVALUE(TEXT(Assumptions!B56,"MM/DD/YYYY")),0)&lt;=DATE(2029,10,31)),-(Assumptions!G56+(Assumptions!G56*Assumptions!F56)),0)</f>
        <v/>
      </c>
      <c r="AN24" s="156">
        <f>IF(AND(Assumptions!B56&lt;&gt;"",IFERROR(DATEVALUE(TEXT(Assumptions!B56,"MM/DD/YYYY")),0)&gt;=DATE(2029,11,1),IFERROR(DATEVALUE(TEXT(Assumptions!B56,"MM/DD/YYYY")),0)&lt;=DATE(2029,11,30)),-(Assumptions!G56+(Assumptions!G56*Assumptions!F56)),0)</f>
        <v/>
      </c>
      <c r="AO24" s="156">
        <f>IF(AND(Assumptions!B56&lt;&gt;"",IFERROR(DATEVALUE(TEXT(Assumptions!B56,"MM/DD/YYYY")),0)&gt;=DATE(2029,12,1),IFERROR(DATEVALUE(TEXT(Assumptions!B56,"MM/DD/YYYY")),0)&lt;=DATE(2029,12,31)),-(Assumptions!G56+(Assumptions!G56*Assumptions!F56)),0)</f>
        <v/>
      </c>
      <c r="AP24" s="156">
        <f>IF(AND(Assumptions!B56&lt;&gt;"",IFERROR(DATEVALUE(TEXT(Assumptions!B56,"MM/DD/YYYY")),0)&gt;=DATE(2030,1,1),IFERROR(DATEVALUE(TEXT(Assumptions!B56,"MM/DD/YYYY")),0)&lt;=DATE(2030,1,31)),-(Assumptions!G56+(Assumptions!G56*Assumptions!F56)),0)</f>
        <v/>
      </c>
      <c r="AQ24" s="156">
        <f>IF(AND(Assumptions!B56&lt;&gt;"",IFERROR(DATEVALUE(TEXT(Assumptions!B56,"MM/DD/YYYY")),0)&gt;=DATE(2030,2,1),IFERROR(DATEVALUE(TEXT(Assumptions!B56,"MM/DD/YYYY")),0)&lt;=DATE(2030,2,28)),-(Assumptions!G56+(Assumptions!G56*Assumptions!F56)),0)</f>
        <v/>
      </c>
      <c r="AR24" s="156">
        <f>IF(AND(Assumptions!B56&lt;&gt;"",IFERROR(DATEVALUE(TEXT(Assumptions!B56,"MM/DD/YYYY")),0)&gt;=DATE(2030,3,1),IFERROR(DATEVALUE(TEXT(Assumptions!B56,"MM/DD/YYYY")),0)&lt;=DATE(2030,3,31)),-(Assumptions!G56+(Assumptions!G56*Assumptions!F56)),0)</f>
        <v/>
      </c>
      <c r="AS24" s="156">
        <f>IF(AND(Assumptions!B56&lt;&gt;"",IFERROR(DATEVALUE(TEXT(Assumptions!B56,"MM/DD/YYYY")),0)&gt;=DATE(2030,4,1),IFERROR(DATEVALUE(TEXT(Assumptions!B56,"MM/DD/YYYY")),0)&lt;=DATE(2030,4,30)),-(Assumptions!G56+(Assumptions!G56*Assumptions!F56)),0)</f>
        <v/>
      </c>
      <c r="AT24" s="156">
        <f>IF(AND(Assumptions!B56&lt;&gt;"",IFERROR(DATEVALUE(TEXT(Assumptions!B56,"MM/DD/YYYY")),0)&gt;=DATE(2030,5,1),IFERROR(DATEVALUE(TEXT(Assumptions!B56,"MM/DD/YYYY")),0)&lt;=DATE(2030,5,31)),-(Assumptions!G56+(Assumptions!G56*Assumptions!F56)),0)</f>
        <v/>
      </c>
      <c r="AU24" s="156">
        <f>IF(AND(Assumptions!B56&lt;&gt;"",IFERROR(DATEVALUE(TEXT(Assumptions!B56,"MM/DD/YYYY")),0)&gt;=DATE(2030,6,1),IFERROR(DATEVALUE(TEXT(Assumptions!B56,"MM/DD/YYYY")),0)&lt;=DATE(2030,6,30)),-(Assumptions!G56+(Assumptions!G56*Assumptions!F56)),0)</f>
        <v/>
      </c>
      <c r="AV24" s="156">
        <f>IF(AND(Assumptions!B56&lt;&gt;"",IFERROR(DATEVALUE(TEXT(Assumptions!B56,"MM/DD/YYYY")),0)&gt;=DATE(2030,7,1),IFERROR(DATEVALUE(TEXT(Assumptions!B56,"MM/DD/YYYY")),0)&lt;=DATE(2030,7,31)),-(Assumptions!G56+(Assumptions!G56*Assumptions!F56)),0)</f>
        <v/>
      </c>
      <c r="AW24" s="156">
        <f>IF(AND(Assumptions!B56&lt;&gt;"",IFERROR(DATEVALUE(TEXT(Assumptions!B56,"MM/DD/YYYY")),0)&gt;=DATE(2030,8,1),IFERROR(DATEVALUE(TEXT(Assumptions!B56,"MM/DD/YYYY")),0)&lt;=DATE(2030,8,31)),-(Assumptions!G56+(Assumptions!G56*Assumptions!F56)),0)</f>
        <v/>
      </c>
      <c r="AX24" s="156">
        <f>IF(AND(Assumptions!B56&lt;&gt;"",IFERROR(DATEVALUE(TEXT(Assumptions!B56,"MM/DD/YYYY")),0)&gt;=DATE(2030,9,1),IFERROR(DATEVALUE(TEXT(Assumptions!B56,"MM/DD/YYYY")),0)&lt;=DATE(2030,9,30)),-(Assumptions!G56+(Assumptions!G56*Assumptions!F56)),0)</f>
        <v/>
      </c>
      <c r="AY24" s="156">
        <f>IF(AND(Assumptions!B56&lt;&gt;"",IFERROR(DATEVALUE(TEXT(Assumptions!B56,"MM/DD/YYYY")),0)&gt;=DATE(2030,10,1),IFERROR(DATEVALUE(TEXT(Assumptions!B56,"MM/DD/YYYY")),0)&lt;=DATE(2030,10,31)),-(Assumptions!G56+(Assumptions!G56*Assumptions!F56)),0)</f>
        <v/>
      </c>
      <c r="AZ24" s="156">
        <f>IF(AND(Assumptions!B56&lt;&gt;"",IFERROR(DATEVALUE(TEXT(Assumptions!B56,"MM/DD/YYYY")),0)&gt;=DATE(2030,11,1),IFERROR(DATEVALUE(TEXT(Assumptions!B56,"MM/DD/YYYY")),0)&lt;=DATE(2030,11,30)),-(Assumptions!G56+(Assumptions!G56*Assumptions!F56)),0)</f>
        <v/>
      </c>
      <c r="BA24" s="156">
        <f>IF(AND(Assumptions!B56&lt;&gt;"",IFERROR(DATEVALUE(TEXT(Assumptions!B56,"MM/DD/YYYY")),0)&gt;=DATE(2030,12,1),IFERROR(DATEVALUE(TEXT(Assumptions!B56,"MM/DD/YYYY")),0)&lt;=DATE(2030,12,31)),-(Assumptions!G56+(Assumptions!G56*Assumptions!F56)),0)</f>
        <v/>
      </c>
      <c r="BB24" s="156">
        <f>IF(AND(Assumptions!B56&lt;&gt;"",IFERROR(DATEVALUE(TEXT(Assumptions!B56,"MM/DD/YYYY")),0)&gt;=DATE(2031,1,1),IFERROR(DATEVALUE(TEXT(Assumptions!B56,"MM/DD/YYYY")),0)&lt;=DATE(2031,1,31)),-(Assumptions!G56+(Assumptions!G56*Assumptions!F56)),0)</f>
        <v/>
      </c>
      <c r="BC24" s="156">
        <f>IF(AND(Assumptions!B56&lt;&gt;"",IFERROR(DATEVALUE(TEXT(Assumptions!B56,"MM/DD/YYYY")),0)&gt;=DATE(2031,2,1),IFERROR(DATEVALUE(TEXT(Assumptions!B56,"MM/DD/YYYY")),0)&lt;=DATE(2031,2,28)),-(Assumptions!G56+(Assumptions!G56*Assumptions!F56)),0)</f>
        <v/>
      </c>
      <c r="BD24" s="156">
        <f>IF(AND(Assumptions!B56&lt;&gt;"",IFERROR(DATEVALUE(TEXT(Assumptions!B56,"MM/DD/YYYY")),0)&gt;=DATE(2031,3,1),IFERROR(DATEVALUE(TEXT(Assumptions!B56,"MM/DD/YYYY")),0)&lt;=DATE(2031,3,31)),-(Assumptions!G56+(Assumptions!G56*Assumptions!F56)),0)</f>
        <v/>
      </c>
      <c r="BE24" s="156">
        <f>IF(AND(Assumptions!B56&lt;&gt;"",IFERROR(DATEVALUE(TEXT(Assumptions!B56,"MM/DD/YYYY")),0)&gt;=DATE(2031,4,1),IFERROR(DATEVALUE(TEXT(Assumptions!B56,"MM/DD/YYYY")),0)&lt;=DATE(2031,4,30)),-(Assumptions!G56+(Assumptions!G56*Assumptions!F56)),0)</f>
        <v/>
      </c>
      <c r="BF24" s="156">
        <f>IF(AND(Assumptions!B56&lt;&gt;"",IFERROR(DATEVALUE(TEXT(Assumptions!B56,"MM/DD/YYYY")),0)&gt;=DATE(2031,5,1),IFERROR(DATEVALUE(TEXT(Assumptions!B56,"MM/DD/YYYY")),0)&lt;=DATE(2031,5,31)),-(Assumptions!G56+(Assumptions!G56*Assumptions!F56)),0)</f>
        <v/>
      </c>
      <c r="BG24" s="156">
        <f>IF(AND(Assumptions!B56&lt;&gt;"",IFERROR(DATEVALUE(TEXT(Assumptions!B56,"MM/DD/YYYY")),0)&gt;=DATE(2031,6,1),IFERROR(DATEVALUE(TEXT(Assumptions!B56,"MM/DD/YYYY")),0)&lt;=DATE(2031,6,30)),-(Assumptions!G56+(Assumptions!G56*Assumptions!F56)),0)</f>
        <v/>
      </c>
      <c r="BH24" s="156">
        <f>IF(AND(Assumptions!B56&lt;&gt;"",IFERROR(DATEVALUE(TEXT(Assumptions!B56,"MM/DD/YYYY")),0)&gt;=DATE(2031,7,1),IFERROR(DATEVALUE(TEXT(Assumptions!B56,"MM/DD/YYYY")),0)&lt;=DATE(2031,7,31)),-(Assumptions!G56+(Assumptions!G56*Assumptions!F56)),0)</f>
        <v/>
      </c>
      <c r="BI24" s="156">
        <f>IF(AND(Assumptions!B56&lt;&gt;"",IFERROR(DATEVALUE(TEXT(Assumptions!B56,"MM/DD/YYYY")),0)&gt;=DATE(2031,8,1),IFERROR(DATEVALUE(TEXT(Assumptions!B56,"MM/DD/YYYY")),0)&lt;=DATE(2031,8,31)),-(Assumptions!G56+(Assumptions!G56*Assumptions!F56)),0)</f>
        <v/>
      </c>
      <c r="BJ24" s="156">
        <f>IF(AND(Assumptions!B56&lt;&gt;"",IFERROR(DATEVALUE(TEXT(Assumptions!B56,"MM/DD/YYYY")),0)&gt;=DATE(2031,9,1),IFERROR(DATEVALUE(TEXT(Assumptions!B56,"MM/DD/YYYY")),0)&lt;=DATE(2031,9,30)),-(Assumptions!G56+(Assumptions!G56*Assumptions!F56)),0)</f>
        <v/>
      </c>
      <c r="BL24" s="157">
        <f>C24+D24+E24+F24+G24+H24+I24+J24+K24+L24+M24+N24</f>
        <v/>
      </c>
      <c r="BM24" s="157">
        <f>O24+P24+Q24+R24+S24+T24+U24+V24+W24+X24+Y24+Z24</f>
        <v/>
      </c>
      <c r="BN24" s="157">
        <f>AA24+AB24+AC24+AD24+AE24+AF24+AG24+AH24+AI24+AJ24+AK24+AL24</f>
        <v/>
      </c>
      <c r="BO24" s="157">
        <f>AM24+AN24+AO24+AP24+AQ24+AR24+AS24+AT24+AU24+AV24+AW24+AX24</f>
        <v/>
      </c>
      <c r="BP24" s="157">
        <f>AY24+AZ24+BA24+BB24+BC24+BD24+BE24+BF24+BG24+BH24+BI24+BJ24</f>
        <v/>
      </c>
    </row>
    <row r="25" ht="15" customHeight="1" s="104">
      <c r="A25" s="107" t="inlineStr">
        <is>
          <t xml:space="preserve">    Add-On 7 Acquisition (TEV + Transaction Fees)</t>
        </is>
      </c>
      <c r="C25" s="156">
        <f>IF(AND(Assumptions!B57&lt;&gt;"",IFERROR(DATEVALUE(TEXT(Assumptions!B57,"MM/DD/YYYY")),0)&gt;=DATE(2026,10,1),IFERROR(DATEVALUE(TEXT(Assumptions!B57,"MM/DD/YYYY")),0)&lt;=DATE(2026,10,31)),-(Assumptions!G57+(Assumptions!G57*Assumptions!F57)),0)</f>
        <v/>
      </c>
      <c r="D25" s="156">
        <f>IF(AND(Assumptions!B57&lt;&gt;"",IFERROR(DATEVALUE(TEXT(Assumptions!B57,"MM/DD/YYYY")),0)&gt;=DATE(2026,11,1),IFERROR(DATEVALUE(TEXT(Assumptions!B57,"MM/DD/YYYY")),0)&lt;=DATE(2026,11,30)),-(Assumptions!G57+(Assumptions!G57*Assumptions!F57)),0)</f>
        <v/>
      </c>
      <c r="E25" s="156">
        <f>IF(AND(Assumptions!B57&lt;&gt;"",IFERROR(DATEVALUE(TEXT(Assumptions!B57,"MM/DD/YYYY")),0)&gt;=DATE(2026,12,1),IFERROR(DATEVALUE(TEXT(Assumptions!B57,"MM/DD/YYYY")),0)&lt;=DATE(2026,12,31)),-(Assumptions!G57+(Assumptions!G57*Assumptions!F57)),0)</f>
        <v/>
      </c>
      <c r="F25" s="156">
        <f>IF(AND(Assumptions!B57&lt;&gt;"",IFERROR(DATEVALUE(TEXT(Assumptions!B57,"MM/DD/YYYY")),0)&gt;=DATE(2027,1,1),IFERROR(DATEVALUE(TEXT(Assumptions!B57,"MM/DD/YYYY")),0)&lt;=DATE(2027,1,31)),-(Assumptions!G57+(Assumptions!G57*Assumptions!F57)),0)</f>
        <v/>
      </c>
      <c r="G25" s="156">
        <f>IF(AND(Assumptions!B57&lt;&gt;"",IFERROR(DATEVALUE(TEXT(Assumptions!B57,"MM/DD/YYYY")),0)&gt;=DATE(2027,2,1),IFERROR(DATEVALUE(TEXT(Assumptions!B57,"MM/DD/YYYY")),0)&lt;=DATE(2027,2,28)),-(Assumptions!G57+(Assumptions!G57*Assumptions!F57)),0)</f>
        <v/>
      </c>
      <c r="H25" s="156">
        <f>IF(AND(Assumptions!B57&lt;&gt;"",IFERROR(DATEVALUE(TEXT(Assumptions!B57,"MM/DD/YYYY")),0)&gt;=DATE(2027,3,1),IFERROR(DATEVALUE(TEXT(Assumptions!B57,"MM/DD/YYYY")),0)&lt;=DATE(2027,3,31)),-(Assumptions!G57+(Assumptions!G57*Assumptions!F57)),0)</f>
        <v/>
      </c>
      <c r="I25" s="156">
        <f>IF(AND(Assumptions!B57&lt;&gt;"",IFERROR(DATEVALUE(TEXT(Assumptions!B57,"MM/DD/YYYY")),0)&gt;=DATE(2027,4,1),IFERROR(DATEVALUE(TEXT(Assumptions!B57,"MM/DD/YYYY")),0)&lt;=DATE(2027,4,30)),-(Assumptions!G57+(Assumptions!G57*Assumptions!F57)),0)</f>
        <v/>
      </c>
      <c r="J25" s="156">
        <f>IF(AND(Assumptions!B57&lt;&gt;"",IFERROR(DATEVALUE(TEXT(Assumptions!B57,"MM/DD/YYYY")),0)&gt;=DATE(2027,5,1),IFERROR(DATEVALUE(TEXT(Assumptions!B57,"MM/DD/YYYY")),0)&lt;=DATE(2027,5,31)),-(Assumptions!G57+(Assumptions!G57*Assumptions!F57)),0)</f>
        <v/>
      </c>
      <c r="K25" s="156">
        <f>IF(AND(Assumptions!B57&lt;&gt;"",IFERROR(DATEVALUE(TEXT(Assumptions!B57,"MM/DD/YYYY")),0)&gt;=DATE(2027,6,1),IFERROR(DATEVALUE(TEXT(Assumptions!B57,"MM/DD/YYYY")),0)&lt;=DATE(2027,6,30)),-(Assumptions!G57+(Assumptions!G57*Assumptions!F57)),0)</f>
        <v/>
      </c>
      <c r="L25" s="156">
        <f>IF(AND(Assumptions!B57&lt;&gt;"",IFERROR(DATEVALUE(TEXT(Assumptions!B57,"MM/DD/YYYY")),0)&gt;=DATE(2027,7,1),IFERROR(DATEVALUE(TEXT(Assumptions!B57,"MM/DD/YYYY")),0)&lt;=DATE(2027,7,31)),-(Assumptions!G57+(Assumptions!G57*Assumptions!F57)),0)</f>
        <v/>
      </c>
      <c r="M25" s="156">
        <f>IF(AND(Assumptions!B57&lt;&gt;"",IFERROR(DATEVALUE(TEXT(Assumptions!B57,"MM/DD/YYYY")),0)&gt;=DATE(2027,8,1),IFERROR(DATEVALUE(TEXT(Assumptions!B57,"MM/DD/YYYY")),0)&lt;=DATE(2027,8,31)),-(Assumptions!G57+(Assumptions!G57*Assumptions!F57)),0)</f>
        <v/>
      </c>
      <c r="N25" s="156">
        <f>IF(AND(Assumptions!B57&lt;&gt;"",IFERROR(DATEVALUE(TEXT(Assumptions!B57,"MM/DD/YYYY")),0)&gt;=DATE(2027,9,1),IFERROR(DATEVALUE(TEXT(Assumptions!B57,"MM/DD/YYYY")),0)&lt;=DATE(2027,9,30)),-(Assumptions!G57+(Assumptions!G57*Assumptions!F57)),0)</f>
        <v/>
      </c>
      <c r="O25" s="156">
        <f>IF(AND(Assumptions!B57&lt;&gt;"",IFERROR(DATEVALUE(TEXT(Assumptions!B57,"MM/DD/YYYY")),0)&gt;=DATE(2027,10,1),IFERROR(DATEVALUE(TEXT(Assumptions!B57,"MM/DD/YYYY")),0)&lt;=DATE(2027,10,31)),-(Assumptions!G57+(Assumptions!G57*Assumptions!F57)),0)</f>
        <v/>
      </c>
      <c r="P25" s="156">
        <f>IF(AND(Assumptions!B57&lt;&gt;"",IFERROR(DATEVALUE(TEXT(Assumptions!B57,"MM/DD/YYYY")),0)&gt;=DATE(2027,11,1),IFERROR(DATEVALUE(TEXT(Assumptions!B57,"MM/DD/YYYY")),0)&lt;=DATE(2027,11,30)),-(Assumptions!G57+(Assumptions!G57*Assumptions!F57)),0)</f>
        <v/>
      </c>
      <c r="Q25" s="156">
        <f>IF(AND(Assumptions!B57&lt;&gt;"",IFERROR(DATEVALUE(TEXT(Assumptions!B57,"MM/DD/YYYY")),0)&gt;=DATE(2027,12,1),IFERROR(DATEVALUE(TEXT(Assumptions!B57,"MM/DD/YYYY")),0)&lt;=DATE(2027,12,31)),-(Assumptions!G57+(Assumptions!G57*Assumptions!F57)),0)</f>
        <v/>
      </c>
      <c r="R25" s="156">
        <f>IF(AND(Assumptions!B57&lt;&gt;"",IFERROR(DATEVALUE(TEXT(Assumptions!B57,"MM/DD/YYYY")),0)&gt;=DATE(2028,1,1),IFERROR(DATEVALUE(TEXT(Assumptions!B57,"MM/DD/YYYY")),0)&lt;=DATE(2028,1,31)),-(Assumptions!G57+(Assumptions!G57*Assumptions!F57)),0)</f>
        <v/>
      </c>
      <c r="S25" s="156">
        <f>IF(AND(Assumptions!B57&lt;&gt;"",IFERROR(DATEVALUE(TEXT(Assumptions!B57,"MM/DD/YYYY")),0)&gt;=DATE(2028,2,1),IFERROR(DATEVALUE(TEXT(Assumptions!B57,"MM/DD/YYYY")),0)&lt;=DATE(2028,2,29)),-(Assumptions!G57+(Assumptions!G57*Assumptions!F57)),0)</f>
        <v/>
      </c>
      <c r="T25" s="156">
        <f>IF(AND(Assumptions!B57&lt;&gt;"",IFERROR(DATEVALUE(TEXT(Assumptions!B57,"MM/DD/YYYY")),0)&gt;=DATE(2028,3,1),IFERROR(DATEVALUE(TEXT(Assumptions!B57,"MM/DD/YYYY")),0)&lt;=DATE(2028,3,31)),-(Assumptions!G57+(Assumptions!G57*Assumptions!F57)),0)</f>
        <v/>
      </c>
      <c r="U25" s="156">
        <f>IF(AND(Assumptions!B57&lt;&gt;"",IFERROR(DATEVALUE(TEXT(Assumptions!B57,"MM/DD/YYYY")),0)&gt;=DATE(2028,4,1),IFERROR(DATEVALUE(TEXT(Assumptions!B57,"MM/DD/YYYY")),0)&lt;=DATE(2028,4,30)),-(Assumptions!G57+(Assumptions!G57*Assumptions!F57)),0)</f>
        <v/>
      </c>
      <c r="V25" s="156">
        <f>IF(AND(Assumptions!B57&lt;&gt;"",IFERROR(DATEVALUE(TEXT(Assumptions!B57,"MM/DD/YYYY")),0)&gt;=DATE(2028,5,1),IFERROR(DATEVALUE(TEXT(Assumptions!B57,"MM/DD/YYYY")),0)&lt;=DATE(2028,5,31)),-(Assumptions!G57+(Assumptions!G57*Assumptions!F57)),0)</f>
        <v/>
      </c>
      <c r="W25" s="156">
        <f>IF(AND(Assumptions!B57&lt;&gt;"",IFERROR(DATEVALUE(TEXT(Assumptions!B57,"MM/DD/YYYY")),0)&gt;=DATE(2028,6,1),IFERROR(DATEVALUE(TEXT(Assumptions!B57,"MM/DD/YYYY")),0)&lt;=DATE(2028,6,30)),-(Assumptions!G57+(Assumptions!G57*Assumptions!F57)),0)</f>
        <v/>
      </c>
      <c r="X25" s="156">
        <f>IF(AND(Assumptions!B57&lt;&gt;"",IFERROR(DATEVALUE(TEXT(Assumptions!B57,"MM/DD/YYYY")),0)&gt;=DATE(2028,7,1),IFERROR(DATEVALUE(TEXT(Assumptions!B57,"MM/DD/YYYY")),0)&lt;=DATE(2028,7,31)),-(Assumptions!G57+(Assumptions!G57*Assumptions!F57)),0)</f>
        <v/>
      </c>
      <c r="Y25" s="156">
        <f>IF(AND(Assumptions!B57&lt;&gt;"",IFERROR(DATEVALUE(TEXT(Assumptions!B57,"MM/DD/YYYY")),0)&gt;=DATE(2028,8,1),IFERROR(DATEVALUE(TEXT(Assumptions!B57,"MM/DD/YYYY")),0)&lt;=DATE(2028,8,31)),-(Assumptions!G57+(Assumptions!G57*Assumptions!F57)),0)</f>
        <v/>
      </c>
      <c r="Z25" s="156">
        <f>IF(AND(Assumptions!B57&lt;&gt;"",IFERROR(DATEVALUE(TEXT(Assumptions!B57,"MM/DD/YYYY")),0)&gt;=DATE(2028,9,1),IFERROR(DATEVALUE(TEXT(Assumptions!B57,"MM/DD/YYYY")),0)&lt;=DATE(2028,9,30)),-(Assumptions!G57+(Assumptions!G57*Assumptions!F57)),0)</f>
        <v/>
      </c>
      <c r="AA25" s="156">
        <f>IF(AND(Assumptions!B57&lt;&gt;"",IFERROR(DATEVALUE(TEXT(Assumptions!B57,"MM/DD/YYYY")),0)&gt;=DATE(2028,10,1),IFERROR(DATEVALUE(TEXT(Assumptions!B57,"MM/DD/YYYY")),0)&lt;=DATE(2028,10,31)),-(Assumptions!G57+(Assumptions!G57*Assumptions!F57)),0)</f>
        <v/>
      </c>
      <c r="AB25" s="156">
        <f>IF(AND(Assumptions!B57&lt;&gt;"",IFERROR(DATEVALUE(TEXT(Assumptions!B57,"MM/DD/YYYY")),0)&gt;=DATE(2028,11,1),IFERROR(DATEVALUE(TEXT(Assumptions!B57,"MM/DD/YYYY")),0)&lt;=DATE(2028,11,30)),-(Assumptions!G57+(Assumptions!G57*Assumptions!F57)),0)</f>
        <v/>
      </c>
      <c r="AC25" s="156">
        <f>IF(AND(Assumptions!B57&lt;&gt;"",IFERROR(DATEVALUE(TEXT(Assumptions!B57,"MM/DD/YYYY")),0)&gt;=DATE(2028,12,1),IFERROR(DATEVALUE(TEXT(Assumptions!B57,"MM/DD/YYYY")),0)&lt;=DATE(2028,12,31)),-(Assumptions!G57+(Assumptions!G57*Assumptions!F57)),0)</f>
        <v/>
      </c>
      <c r="AD25" s="156">
        <f>IF(AND(Assumptions!B57&lt;&gt;"",IFERROR(DATEVALUE(TEXT(Assumptions!B57,"MM/DD/YYYY")),0)&gt;=DATE(2029,1,1),IFERROR(DATEVALUE(TEXT(Assumptions!B57,"MM/DD/YYYY")),0)&lt;=DATE(2029,1,31)),-(Assumptions!G57+(Assumptions!G57*Assumptions!F57)),0)</f>
        <v/>
      </c>
      <c r="AE25" s="156">
        <f>IF(AND(Assumptions!B57&lt;&gt;"",IFERROR(DATEVALUE(TEXT(Assumptions!B57,"MM/DD/YYYY")),0)&gt;=DATE(2029,2,1),IFERROR(DATEVALUE(TEXT(Assumptions!B57,"MM/DD/YYYY")),0)&lt;=DATE(2029,2,28)),-(Assumptions!G57+(Assumptions!G57*Assumptions!F57)),0)</f>
        <v/>
      </c>
      <c r="AF25" s="156">
        <f>IF(AND(Assumptions!B57&lt;&gt;"",IFERROR(DATEVALUE(TEXT(Assumptions!B57,"MM/DD/YYYY")),0)&gt;=DATE(2029,3,1),IFERROR(DATEVALUE(TEXT(Assumptions!B57,"MM/DD/YYYY")),0)&lt;=DATE(2029,3,31)),-(Assumptions!G57+(Assumptions!G57*Assumptions!F57)),0)</f>
        <v/>
      </c>
      <c r="AG25" s="156">
        <f>IF(AND(Assumptions!B57&lt;&gt;"",IFERROR(DATEVALUE(TEXT(Assumptions!B57,"MM/DD/YYYY")),0)&gt;=DATE(2029,4,1),IFERROR(DATEVALUE(TEXT(Assumptions!B57,"MM/DD/YYYY")),0)&lt;=DATE(2029,4,30)),-(Assumptions!G57+(Assumptions!G57*Assumptions!F57)),0)</f>
        <v/>
      </c>
      <c r="AH25" s="156">
        <f>IF(AND(Assumptions!B57&lt;&gt;"",IFERROR(DATEVALUE(TEXT(Assumptions!B57,"MM/DD/YYYY")),0)&gt;=DATE(2029,5,1),IFERROR(DATEVALUE(TEXT(Assumptions!B57,"MM/DD/YYYY")),0)&lt;=DATE(2029,5,31)),-(Assumptions!G57+(Assumptions!G57*Assumptions!F57)),0)</f>
        <v/>
      </c>
      <c r="AI25" s="156">
        <f>IF(AND(Assumptions!B57&lt;&gt;"",IFERROR(DATEVALUE(TEXT(Assumptions!B57,"MM/DD/YYYY")),0)&gt;=DATE(2029,6,1),IFERROR(DATEVALUE(TEXT(Assumptions!B57,"MM/DD/YYYY")),0)&lt;=DATE(2029,6,30)),-(Assumptions!G57+(Assumptions!G57*Assumptions!F57)),0)</f>
        <v/>
      </c>
      <c r="AJ25" s="156">
        <f>IF(AND(Assumptions!B57&lt;&gt;"",IFERROR(DATEVALUE(TEXT(Assumptions!B57,"MM/DD/YYYY")),0)&gt;=DATE(2029,7,1),IFERROR(DATEVALUE(TEXT(Assumptions!B57,"MM/DD/YYYY")),0)&lt;=DATE(2029,7,31)),-(Assumptions!G57+(Assumptions!G57*Assumptions!F57)),0)</f>
        <v/>
      </c>
      <c r="AK25" s="156">
        <f>IF(AND(Assumptions!B57&lt;&gt;"",IFERROR(DATEVALUE(TEXT(Assumptions!B57,"MM/DD/YYYY")),0)&gt;=DATE(2029,8,1),IFERROR(DATEVALUE(TEXT(Assumptions!B57,"MM/DD/YYYY")),0)&lt;=DATE(2029,8,31)),-(Assumptions!G57+(Assumptions!G57*Assumptions!F57)),0)</f>
        <v/>
      </c>
      <c r="AL25" s="156">
        <f>IF(AND(Assumptions!B57&lt;&gt;"",IFERROR(DATEVALUE(TEXT(Assumptions!B57,"MM/DD/YYYY")),0)&gt;=DATE(2029,9,1),IFERROR(DATEVALUE(TEXT(Assumptions!B57,"MM/DD/YYYY")),0)&lt;=DATE(2029,9,30)),-(Assumptions!G57+(Assumptions!G57*Assumptions!F57)),0)</f>
        <v/>
      </c>
      <c r="AM25" s="156">
        <f>IF(AND(Assumptions!B57&lt;&gt;"",IFERROR(DATEVALUE(TEXT(Assumptions!B57,"MM/DD/YYYY")),0)&gt;=DATE(2029,10,1),IFERROR(DATEVALUE(TEXT(Assumptions!B57,"MM/DD/YYYY")),0)&lt;=DATE(2029,10,31)),-(Assumptions!G57+(Assumptions!G57*Assumptions!F57)),0)</f>
        <v/>
      </c>
      <c r="AN25" s="156">
        <f>IF(AND(Assumptions!B57&lt;&gt;"",IFERROR(DATEVALUE(TEXT(Assumptions!B57,"MM/DD/YYYY")),0)&gt;=DATE(2029,11,1),IFERROR(DATEVALUE(TEXT(Assumptions!B57,"MM/DD/YYYY")),0)&lt;=DATE(2029,11,30)),-(Assumptions!G57+(Assumptions!G57*Assumptions!F57)),0)</f>
        <v/>
      </c>
      <c r="AO25" s="156">
        <f>IF(AND(Assumptions!B57&lt;&gt;"",IFERROR(DATEVALUE(TEXT(Assumptions!B57,"MM/DD/YYYY")),0)&gt;=DATE(2029,12,1),IFERROR(DATEVALUE(TEXT(Assumptions!B57,"MM/DD/YYYY")),0)&lt;=DATE(2029,12,31)),-(Assumptions!G57+(Assumptions!G57*Assumptions!F57)),0)</f>
        <v/>
      </c>
      <c r="AP25" s="156">
        <f>IF(AND(Assumptions!B57&lt;&gt;"",IFERROR(DATEVALUE(TEXT(Assumptions!B57,"MM/DD/YYYY")),0)&gt;=DATE(2030,1,1),IFERROR(DATEVALUE(TEXT(Assumptions!B57,"MM/DD/YYYY")),0)&lt;=DATE(2030,1,31)),-(Assumptions!G57+(Assumptions!G57*Assumptions!F57)),0)</f>
        <v/>
      </c>
      <c r="AQ25" s="156">
        <f>IF(AND(Assumptions!B57&lt;&gt;"",IFERROR(DATEVALUE(TEXT(Assumptions!B57,"MM/DD/YYYY")),0)&gt;=DATE(2030,2,1),IFERROR(DATEVALUE(TEXT(Assumptions!B57,"MM/DD/YYYY")),0)&lt;=DATE(2030,2,28)),-(Assumptions!G57+(Assumptions!G57*Assumptions!F57)),0)</f>
        <v/>
      </c>
      <c r="AR25" s="156">
        <f>IF(AND(Assumptions!B57&lt;&gt;"",IFERROR(DATEVALUE(TEXT(Assumptions!B57,"MM/DD/YYYY")),0)&gt;=DATE(2030,3,1),IFERROR(DATEVALUE(TEXT(Assumptions!B57,"MM/DD/YYYY")),0)&lt;=DATE(2030,3,31)),-(Assumptions!G57+(Assumptions!G57*Assumptions!F57)),0)</f>
        <v/>
      </c>
      <c r="AS25" s="156">
        <f>IF(AND(Assumptions!B57&lt;&gt;"",IFERROR(DATEVALUE(TEXT(Assumptions!B57,"MM/DD/YYYY")),0)&gt;=DATE(2030,4,1),IFERROR(DATEVALUE(TEXT(Assumptions!B57,"MM/DD/YYYY")),0)&lt;=DATE(2030,4,30)),-(Assumptions!G57+(Assumptions!G57*Assumptions!F57)),0)</f>
        <v/>
      </c>
      <c r="AT25" s="156">
        <f>IF(AND(Assumptions!B57&lt;&gt;"",IFERROR(DATEVALUE(TEXT(Assumptions!B57,"MM/DD/YYYY")),0)&gt;=DATE(2030,5,1),IFERROR(DATEVALUE(TEXT(Assumptions!B57,"MM/DD/YYYY")),0)&lt;=DATE(2030,5,31)),-(Assumptions!G57+(Assumptions!G57*Assumptions!F57)),0)</f>
        <v/>
      </c>
      <c r="AU25" s="156">
        <f>IF(AND(Assumptions!B57&lt;&gt;"",IFERROR(DATEVALUE(TEXT(Assumptions!B57,"MM/DD/YYYY")),0)&gt;=DATE(2030,6,1),IFERROR(DATEVALUE(TEXT(Assumptions!B57,"MM/DD/YYYY")),0)&lt;=DATE(2030,6,30)),-(Assumptions!G57+(Assumptions!G57*Assumptions!F57)),0)</f>
        <v/>
      </c>
      <c r="AV25" s="156">
        <f>IF(AND(Assumptions!B57&lt;&gt;"",IFERROR(DATEVALUE(TEXT(Assumptions!B57,"MM/DD/YYYY")),0)&gt;=DATE(2030,7,1),IFERROR(DATEVALUE(TEXT(Assumptions!B57,"MM/DD/YYYY")),0)&lt;=DATE(2030,7,31)),-(Assumptions!G57+(Assumptions!G57*Assumptions!F57)),0)</f>
        <v/>
      </c>
      <c r="AW25" s="156">
        <f>IF(AND(Assumptions!B57&lt;&gt;"",IFERROR(DATEVALUE(TEXT(Assumptions!B57,"MM/DD/YYYY")),0)&gt;=DATE(2030,8,1),IFERROR(DATEVALUE(TEXT(Assumptions!B57,"MM/DD/YYYY")),0)&lt;=DATE(2030,8,31)),-(Assumptions!G57+(Assumptions!G57*Assumptions!F57)),0)</f>
        <v/>
      </c>
      <c r="AX25" s="156">
        <f>IF(AND(Assumptions!B57&lt;&gt;"",IFERROR(DATEVALUE(TEXT(Assumptions!B57,"MM/DD/YYYY")),0)&gt;=DATE(2030,9,1),IFERROR(DATEVALUE(TEXT(Assumptions!B57,"MM/DD/YYYY")),0)&lt;=DATE(2030,9,30)),-(Assumptions!G57+(Assumptions!G57*Assumptions!F57)),0)</f>
        <v/>
      </c>
      <c r="AY25" s="156">
        <f>IF(AND(Assumptions!B57&lt;&gt;"",IFERROR(DATEVALUE(TEXT(Assumptions!B57,"MM/DD/YYYY")),0)&gt;=DATE(2030,10,1),IFERROR(DATEVALUE(TEXT(Assumptions!B57,"MM/DD/YYYY")),0)&lt;=DATE(2030,10,31)),-(Assumptions!G57+(Assumptions!G57*Assumptions!F57)),0)</f>
        <v/>
      </c>
      <c r="AZ25" s="156">
        <f>IF(AND(Assumptions!B57&lt;&gt;"",IFERROR(DATEVALUE(TEXT(Assumptions!B57,"MM/DD/YYYY")),0)&gt;=DATE(2030,11,1),IFERROR(DATEVALUE(TEXT(Assumptions!B57,"MM/DD/YYYY")),0)&lt;=DATE(2030,11,30)),-(Assumptions!G57+(Assumptions!G57*Assumptions!F57)),0)</f>
        <v/>
      </c>
      <c r="BA25" s="156">
        <f>IF(AND(Assumptions!B57&lt;&gt;"",IFERROR(DATEVALUE(TEXT(Assumptions!B57,"MM/DD/YYYY")),0)&gt;=DATE(2030,12,1),IFERROR(DATEVALUE(TEXT(Assumptions!B57,"MM/DD/YYYY")),0)&lt;=DATE(2030,12,31)),-(Assumptions!G57+(Assumptions!G57*Assumptions!F57)),0)</f>
        <v/>
      </c>
      <c r="BB25" s="156">
        <f>IF(AND(Assumptions!B57&lt;&gt;"",IFERROR(DATEVALUE(TEXT(Assumptions!B57,"MM/DD/YYYY")),0)&gt;=DATE(2031,1,1),IFERROR(DATEVALUE(TEXT(Assumptions!B57,"MM/DD/YYYY")),0)&lt;=DATE(2031,1,31)),-(Assumptions!G57+(Assumptions!G57*Assumptions!F57)),0)</f>
        <v/>
      </c>
      <c r="BC25" s="156">
        <f>IF(AND(Assumptions!B57&lt;&gt;"",IFERROR(DATEVALUE(TEXT(Assumptions!B57,"MM/DD/YYYY")),0)&gt;=DATE(2031,2,1),IFERROR(DATEVALUE(TEXT(Assumptions!B57,"MM/DD/YYYY")),0)&lt;=DATE(2031,2,28)),-(Assumptions!G57+(Assumptions!G57*Assumptions!F57)),0)</f>
        <v/>
      </c>
      <c r="BD25" s="156">
        <f>IF(AND(Assumptions!B57&lt;&gt;"",IFERROR(DATEVALUE(TEXT(Assumptions!B57,"MM/DD/YYYY")),0)&gt;=DATE(2031,3,1),IFERROR(DATEVALUE(TEXT(Assumptions!B57,"MM/DD/YYYY")),0)&lt;=DATE(2031,3,31)),-(Assumptions!G57+(Assumptions!G57*Assumptions!F57)),0)</f>
        <v/>
      </c>
      <c r="BE25" s="156">
        <f>IF(AND(Assumptions!B57&lt;&gt;"",IFERROR(DATEVALUE(TEXT(Assumptions!B57,"MM/DD/YYYY")),0)&gt;=DATE(2031,4,1),IFERROR(DATEVALUE(TEXT(Assumptions!B57,"MM/DD/YYYY")),0)&lt;=DATE(2031,4,30)),-(Assumptions!G57+(Assumptions!G57*Assumptions!F57)),0)</f>
        <v/>
      </c>
      <c r="BF25" s="156">
        <f>IF(AND(Assumptions!B57&lt;&gt;"",IFERROR(DATEVALUE(TEXT(Assumptions!B57,"MM/DD/YYYY")),0)&gt;=DATE(2031,5,1),IFERROR(DATEVALUE(TEXT(Assumptions!B57,"MM/DD/YYYY")),0)&lt;=DATE(2031,5,31)),-(Assumptions!G57+(Assumptions!G57*Assumptions!F57)),0)</f>
        <v/>
      </c>
      <c r="BG25" s="156">
        <f>IF(AND(Assumptions!B57&lt;&gt;"",IFERROR(DATEVALUE(TEXT(Assumptions!B57,"MM/DD/YYYY")),0)&gt;=DATE(2031,6,1),IFERROR(DATEVALUE(TEXT(Assumptions!B57,"MM/DD/YYYY")),0)&lt;=DATE(2031,6,30)),-(Assumptions!G57+(Assumptions!G57*Assumptions!F57)),0)</f>
        <v/>
      </c>
      <c r="BH25" s="156">
        <f>IF(AND(Assumptions!B57&lt;&gt;"",IFERROR(DATEVALUE(TEXT(Assumptions!B57,"MM/DD/YYYY")),0)&gt;=DATE(2031,7,1),IFERROR(DATEVALUE(TEXT(Assumptions!B57,"MM/DD/YYYY")),0)&lt;=DATE(2031,7,31)),-(Assumptions!G57+(Assumptions!G57*Assumptions!F57)),0)</f>
        <v/>
      </c>
      <c r="BI25" s="156">
        <f>IF(AND(Assumptions!B57&lt;&gt;"",IFERROR(DATEVALUE(TEXT(Assumptions!B57,"MM/DD/YYYY")),0)&gt;=DATE(2031,8,1),IFERROR(DATEVALUE(TEXT(Assumptions!B57,"MM/DD/YYYY")),0)&lt;=DATE(2031,8,31)),-(Assumptions!G57+(Assumptions!G57*Assumptions!F57)),0)</f>
        <v/>
      </c>
      <c r="BJ25" s="156">
        <f>IF(AND(Assumptions!B57&lt;&gt;"",IFERROR(DATEVALUE(TEXT(Assumptions!B57,"MM/DD/YYYY")),0)&gt;=DATE(2031,9,1),IFERROR(DATEVALUE(TEXT(Assumptions!B57,"MM/DD/YYYY")),0)&lt;=DATE(2031,9,30)),-(Assumptions!G57+(Assumptions!G57*Assumptions!F57)),0)</f>
        <v/>
      </c>
      <c r="BL25" s="157">
        <f>C25+D25+E25+F25+G25+H25+I25+J25+K25+L25+M25+N25</f>
        <v/>
      </c>
      <c r="BM25" s="157">
        <f>O25+P25+Q25+R25+S25+T25+U25+V25+W25+X25+Y25+Z25</f>
        <v/>
      </c>
      <c r="BN25" s="157">
        <f>AA25+AB25+AC25+AD25+AE25+AF25+AG25+AH25+AI25+AJ25+AK25+AL25</f>
        <v/>
      </c>
      <c r="BO25" s="157">
        <f>AM25+AN25+AO25+AP25+AQ25+AR25+AS25+AT25+AU25+AV25+AW25+AX25</f>
        <v/>
      </c>
      <c r="BP25" s="157">
        <f>AY25+AZ25+BA25+BB25+BC25+BD25+BE25+BF25+BG25+BH25+BI25+BJ25</f>
        <v/>
      </c>
    </row>
    <row r="26" ht="15" customHeight="1" s="104">
      <c r="A26" s="107" t="inlineStr">
        <is>
          <t xml:space="preserve">    Add-On 8 Acquisition (TEV + Transaction Fees)</t>
        </is>
      </c>
      <c r="C26" s="156">
        <f>IF(AND(Assumptions!B58&lt;&gt;"",IFERROR(DATEVALUE(TEXT(Assumptions!B58,"MM/DD/YYYY")),0)&gt;=DATE(2026,10,1),IFERROR(DATEVALUE(TEXT(Assumptions!B58,"MM/DD/YYYY")),0)&lt;=DATE(2026,10,31)),-(Assumptions!G58+(Assumptions!G58*Assumptions!F58)),0)</f>
        <v/>
      </c>
      <c r="D26" s="156">
        <f>IF(AND(Assumptions!B58&lt;&gt;"",IFERROR(DATEVALUE(TEXT(Assumptions!B58,"MM/DD/YYYY")),0)&gt;=DATE(2026,11,1),IFERROR(DATEVALUE(TEXT(Assumptions!B58,"MM/DD/YYYY")),0)&lt;=DATE(2026,11,30)),-(Assumptions!G58+(Assumptions!G58*Assumptions!F58)),0)</f>
        <v/>
      </c>
      <c r="E26" s="156">
        <f>IF(AND(Assumptions!B58&lt;&gt;"",IFERROR(DATEVALUE(TEXT(Assumptions!B58,"MM/DD/YYYY")),0)&gt;=DATE(2026,12,1),IFERROR(DATEVALUE(TEXT(Assumptions!B58,"MM/DD/YYYY")),0)&lt;=DATE(2026,12,31)),-(Assumptions!G58+(Assumptions!G58*Assumptions!F58)),0)</f>
        <v/>
      </c>
      <c r="F26" s="156">
        <f>IF(AND(Assumptions!B58&lt;&gt;"",IFERROR(DATEVALUE(TEXT(Assumptions!B58,"MM/DD/YYYY")),0)&gt;=DATE(2027,1,1),IFERROR(DATEVALUE(TEXT(Assumptions!B58,"MM/DD/YYYY")),0)&lt;=DATE(2027,1,31)),-(Assumptions!G58+(Assumptions!G58*Assumptions!F58)),0)</f>
        <v/>
      </c>
      <c r="G26" s="156">
        <f>IF(AND(Assumptions!B58&lt;&gt;"",IFERROR(DATEVALUE(TEXT(Assumptions!B58,"MM/DD/YYYY")),0)&gt;=DATE(2027,2,1),IFERROR(DATEVALUE(TEXT(Assumptions!B58,"MM/DD/YYYY")),0)&lt;=DATE(2027,2,28)),-(Assumptions!G58+(Assumptions!G58*Assumptions!F58)),0)</f>
        <v/>
      </c>
      <c r="H26" s="156">
        <f>IF(AND(Assumptions!B58&lt;&gt;"",IFERROR(DATEVALUE(TEXT(Assumptions!B58,"MM/DD/YYYY")),0)&gt;=DATE(2027,3,1),IFERROR(DATEVALUE(TEXT(Assumptions!B58,"MM/DD/YYYY")),0)&lt;=DATE(2027,3,31)),-(Assumptions!G58+(Assumptions!G58*Assumptions!F58)),0)</f>
        <v/>
      </c>
      <c r="I26" s="156">
        <f>IF(AND(Assumptions!B58&lt;&gt;"",IFERROR(DATEVALUE(TEXT(Assumptions!B58,"MM/DD/YYYY")),0)&gt;=DATE(2027,4,1),IFERROR(DATEVALUE(TEXT(Assumptions!B58,"MM/DD/YYYY")),0)&lt;=DATE(2027,4,30)),-(Assumptions!G58+(Assumptions!G58*Assumptions!F58)),0)</f>
        <v/>
      </c>
      <c r="J26" s="156">
        <f>IF(AND(Assumptions!B58&lt;&gt;"",IFERROR(DATEVALUE(TEXT(Assumptions!B58,"MM/DD/YYYY")),0)&gt;=DATE(2027,5,1),IFERROR(DATEVALUE(TEXT(Assumptions!B58,"MM/DD/YYYY")),0)&lt;=DATE(2027,5,31)),-(Assumptions!G58+(Assumptions!G58*Assumptions!F58)),0)</f>
        <v/>
      </c>
      <c r="K26" s="156">
        <f>IF(AND(Assumptions!B58&lt;&gt;"",IFERROR(DATEVALUE(TEXT(Assumptions!B58,"MM/DD/YYYY")),0)&gt;=DATE(2027,6,1),IFERROR(DATEVALUE(TEXT(Assumptions!B58,"MM/DD/YYYY")),0)&lt;=DATE(2027,6,30)),-(Assumptions!G58+(Assumptions!G58*Assumptions!F58)),0)</f>
        <v/>
      </c>
      <c r="L26" s="156">
        <f>IF(AND(Assumptions!B58&lt;&gt;"",IFERROR(DATEVALUE(TEXT(Assumptions!B58,"MM/DD/YYYY")),0)&gt;=DATE(2027,7,1),IFERROR(DATEVALUE(TEXT(Assumptions!B58,"MM/DD/YYYY")),0)&lt;=DATE(2027,7,31)),-(Assumptions!G58+(Assumptions!G58*Assumptions!F58)),0)</f>
        <v/>
      </c>
      <c r="M26" s="156">
        <f>IF(AND(Assumptions!B58&lt;&gt;"",IFERROR(DATEVALUE(TEXT(Assumptions!B58,"MM/DD/YYYY")),0)&gt;=DATE(2027,8,1),IFERROR(DATEVALUE(TEXT(Assumptions!B58,"MM/DD/YYYY")),0)&lt;=DATE(2027,8,31)),-(Assumptions!G58+(Assumptions!G58*Assumptions!F58)),0)</f>
        <v/>
      </c>
      <c r="N26" s="156">
        <f>IF(AND(Assumptions!B58&lt;&gt;"",IFERROR(DATEVALUE(TEXT(Assumptions!B58,"MM/DD/YYYY")),0)&gt;=DATE(2027,9,1),IFERROR(DATEVALUE(TEXT(Assumptions!B58,"MM/DD/YYYY")),0)&lt;=DATE(2027,9,30)),-(Assumptions!G58+(Assumptions!G58*Assumptions!F58)),0)</f>
        <v/>
      </c>
      <c r="O26" s="156">
        <f>IF(AND(Assumptions!B58&lt;&gt;"",IFERROR(DATEVALUE(TEXT(Assumptions!B58,"MM/DD/YYYY")),0)&gt;=DATE(2027,10,1),IFERROR(DATEVALUE(TEXT(Assumptions!B58,"MM/DD/YYYY")),0)&lt;=DATE(2027,10,31)),-(Assumptions!G58+(Assumptions!G58*Assumptions!F58)),0)</f>
        <v/>
      </c>
      <c r="P26" s="156">
        <f>IF(AND(Assumptions!B58&lt;&gt;"",IFERROR(DATEVALUE(TEXT(Assumptions!B58,"MM/DD/YYYY")),0)&gt;=DATE(2027,11,1),IFERROR(DATEVALUE(TEXT(Assumptions!B58,"MM/DD/YYYY")),0)&lt;=DATE(2027,11,30)),-(Assumptions!G58+(Assumptions!G58*Assumptions!F58)),0)</f>
        <v/>
      </c>
      <c r="Q26" s="156">
        <f>IF(AND(Assumptions!B58&lt;&gt;"",IFERROR(DATEVALUE(TEXT(Assumptions!B58,"MM/DD/YYYY")),0)&gt;=DATE(2027,12,1),IFERROR(DATEVALUE(TEXT(Assumptions!B58,"MM/DD/YYYY")),0)&lt;=DATE(2027,12,31)),-(Assumptions!G58+(Assumptions!G58*Assumptions!F58)),0)</f>
        <v/>
      </c>
      <c r="R26" s="156">
        <f>IF(AND(Assumptions!B58&lt;&gt;"",IFERROR(DATEVALUE(TEXT(Assumptions!B58,"MM/DD/YYYY")),0)&gt;=DATE(2028,1,1),IFERROR(DATEVALUE(TEXT(Assumptions!B58,"MM/DD/YYYY")),0)&lt;=DATE(2028,1,31)),-(Assumptions!G58+(Assumptions!G58*Assumptions!F58)),0)</f>
        <v/>
      </c>
      <c r="S26" s="156">
        <f>IF(AND(Assumptions!B58&lt;&gt;"",IFERROR(DATEVALUE(TEXT(Assumptions!B58,"MM/DD/YYYY")),0)&gt;=DATE(2028,2,1),IFERROR(DATEVALUE(TEXT(Assumptions!B58,"MM/DD/YYYY")),0)&lt;=DATE(2028,2,29)),-(Assumptions!G58+(Assumptions!G58*Assumptions!F58)),0)</f>
        <v/>
      </c>
      <c r="T26" s="156">
        <f>IF(AND(Assumptions!B58&lt;&gt;"",IFERROR(DATEVALUE(TEXT(Assumptions!B58,"MM/DD/YYYY")),0)&gt;=DATE(2028,3,1),IFERROR(DATEVALUE(TEXT(Assumptions!B58,"MM/DD/YYYY")),0)&lt;=DATE(2028,3,31)),-(Assumptions!G58+(Assumptions!G58*Assumptions!F58)),0)</f>
        <v/>
      </c>
      <c r="U26" s="156">
        <f>IF(AND(Assumptions!B58&lt;&gt;"",IFERROR(DATEVALUE(TEXT(Assumptions!B58,"MM/DD/YYYY")),0)&gt;=DATE(2028,4,1),IFERROR(DATEVALUE(TEXT(Assumptions!B58,"MM/DD/YYYY")),0)&lt;=DATE(2028,4,30)),-(Assumptions!G58+(Assumptions!G58*Assumptions!F58)),0)</f>
        <v/>
      </c>
      <c r="V26" s="156">
        <f>IF(AND(Assumptions!B58&lt;&gt;"",IFERROR(DATEVALUE(TEXT(Assumptions!B58,"MM/DD/YYYY")),0)&gt;=DATE(2028,5,1),IFERROR(DATEVALUE(TEXT(Assumptions!B58,"MM/DD/YYYY")),0)&lt;=DATE(2028,5,31)),-(Assumptions!G58+(Assumptions!G58*Assumptions!F58)),0)</f>
        <v/>
      </c>
      <c r="W26" s="156">
        <f>IF(AND(Assumptions!B58&lt;&gt;"",IFERROR(DATEVALUE(TEXT(Assumptions!B58,"MM/DD/YYYY")),0)&gt;=DATE(2028,6,1),IFERROR(DATEVALUE(TEXT(Assumptions!B58,"MM/DD/YYYY")),0)&lt;=DATE(2028,6,30)),-(Assumptions!G58+(Assumptions!G58*Assumptions!F58)),0)</f>
        <v/>
      </c>
      <c r="X26" s="156">
        <f>IF(AND(Assumptions!B58&lt;&gt;"",IFERROR(DATEVALUE(TEXT(Assumptions!B58,"MM/DD/YYYY")),0)&gt;=DATE(2028,7,1),IFERROR(DATEVALUE(TEXT(Assumptions!B58,"MM/DD/YYYY")),0)&lt;=DATE(2028,7,31)),-(Assumptions!G58+(Assumptions!G58*Assumptions!F58)),0)</f>
        <v/>
      </c>
      <c r="Y26" s="156">
        <f>IF(AND(Assumptions!B58&lt;&gt;"",IFERROR(DATEVALUE(TEXT(Assumptions!B58,"MM/DD/YYYY")),0)&gt;=DATE(2028,8,1),IFERROR(DATEVALUE(TEXT(Assumptions!B58,"MM/DD/YYYY")),0)&lt;=DATE(2028,8,31)),-(Assumptions!G58+(Assumptions!G58*Assumptions!F58)),0)</f>
        <v/>
      </c>
      <c r="Z26" s="156">
        <f>IF(AND(Assumptions!B58&lt;&gt;"",IFERROR(DATEVALUE(TEXT(Assumptions!B58,"MM/DD/YYYY")),0)&gt;=DATE(2028,9,1),IFERROR(DATEVALUE(TEXT(Assumptions!B58,"MM/DD/YYYY")),0)&lt;=DATE(2028,9,30)),-(Assumptions!G58+(Assumptions!G58*Assumptions!F58)),0)</f>
        <v/>
      </c>
      <c r="AA26" s="156">
        <f>IF(AND(Assumptions!B58&lt;&gt;"",IFERROR(DATEVALUE(TEXT(Assumptions!B58,"MM/DD/YYYY")),0)&gt;=DATE(2028,10,1),IFERROR(DATEVALUE(TEXT(Assumptions!B58,"MM/DD/YYYY")),0)&lt;=DATE(2028,10,31)),-(Assumptions!G58+(Assumptions!G58*Assumptions!F58)),0)</f>
        <v/>
      </c>
      <c r="AB26" s="156">
        <f>IF(AND(Assumptions!B58&lt;&gt;"",IFERROR(DATEVALUE(TEXT(Assumptions!B58,"MM/DD/YYYY")),0)&gt;=DATE(2028,11,1),IFERROR(DATEVALUE(TEXT(Assumptions!B58,"MM/DD/YYYY")),0)&lt;=DATE(2028,11,30)),-(Assumptions!G58+(Assumptions!G58*Assumptions!F58)),0)</f>
        <v/>
      </c>
      <c r="AC26" s="156">
        <f>IF(AND(Assumptions!B58&lt;&gt;"",IFERROR(DATEVALUE(TEXT(Assumptions!B58,"MM/DD/YYYY")),0)&gt;=DATE(2028,12,1),IFERROR(DATEVALUE(TEXT(Assumptions!B58,"MM/DD/YYYY")),0)&lt;=DATE(2028,12,31)),-(Assumptions!G58+(Assumptions!G58*Assumptions!F58)),0)</f>
        <v/>
      </c>
      <c r="AD26" s="156">
        <f>IF(AND(Assumptions!B58&lt;&gt;"",IFERROR(DATEVALUE(TEXT(Assumptions!B58,"MM/DD/YYYY")),0)&gt;=DATE(2029,1,1),IFERROR(DATEVALUE(TEXT(Assumptions!B58,"MM/DD/YYYY")),0)&lt;=DATE(2029,1,31)),-(Assumptions!G58+(Assumptions!G58*Assumptions!F58)),0)</f>
        <v/>
      </c>
      <c r="AE26" s="156">
        <f>IF(AND(Assumptions!B58&lt;&gt;"",IFERROR(DATEVALUE(TEXT(Assumptions!B58,"MM/DD/YYYY")),0)&gt;=DATE(2029,2,1),IFERROR(DATEVALUE(TEXT(Assumptions!B58,"MM/DD/YYYY")),0)&lt;=DATE(2029,2,28)),-(Assumptions!G58+(Assumptions!G58*Assumptions!F58)),0)</f>
        <v/>
      </c>
      <c r="AF26" s="156">
        <f>IF(AND(Assumptions!B58&lt;&gt;"",IFERROR(DATEVALUE(TEXT(Assumptions!B58,"MM/DD/YYYY")),0)&gt;=DATE(2029,3,1),IFERROR(DATEVALUE(TEXT(Assumptions!B58,"MM/DD/YYYY")),0)&lt;=DATE(2029,3,31)),-(Assumptions!G58+(Assumptions!G58*Assumptions!F58)),0)</f>
        <v/>
      </c>
      <c r="AG26" s="156">
        <f>IF(AND(Assumptions!B58&lt;&gt;"",IFERROR(DATEVALUE(TEXT(Assumptions!B58,"MM/DD/YYYY")),0)&gt;=DATE(2029,4,1),IFERROR(DATEVALUE(TEXT(Assumptions!B58,"MM/DD/YYYY")),0)&lt;=DATE(2029,4,30)),-(Assumptions!G58+(Assumptions!G58*Assumptions!F58)),0)</f>
        <v/>
      </c>
      <c r="AH26" s="156">
        <f>IF(AND(Assumptions!B58&lt;&gt;"",IFERROR(DATEVALUE(TEXT(Assumptions!B58,"MM/DD/YYYY")),0)&gt;=DATE(2029,5,1),IFERROR(DATEVALUE(TEXT(Assumptions!B58,"MM/DD/YYYY")),0)&lt;=DATE(2029,5,31)),-(Assumptions!G58+(Assumptions!G58*Assumptions!F58)),0)</f>
        <v/>
      </c>
      <c r="AI26" s="156">
        <f>IF(AND(Assumptions!B58&lt;&gt;"",IFERROR(DATEVALUE(TEXT(Assumptions!B58,"MM/DD/YYYY")),0)&gt;=DATE(2029,6,1),IFERROR(DATEVALUE(TEXT(Assumptions!B58,"MM/DD/YYYY")),0)&lt;=DATE(2029,6,30)),-(Assumptions!G58+(Assumptions!G58*Assumptions!F58)),0)</f>
        <v/>
      </c>
      <c r="AJ26" s="156">
        <f>IF(AND(Assumptions!B58&lt;&gt;"",IFERROR(DATEVALUE(TEXT(Assumptions!B58,"MM/DD/YYYY")),0)&gt;=DATE(2029,7,1),IFERROR(DATEVALUE(TEXT(Assumptions!B58,"MM/DD/YYYY")),0)&lt;=DATE(2029,7,31)),-(Assumptions!G58+(Assumptions!G58*Assumptions!F58)),0)</f>
        <v/>
      </c>
      <c r="AK26" s="156">
        <f>IF(AND(Assumptions!B58&lt;&gt;"",IFERROR(DATEVALUE(TEXT(Assumptions!B58,"MM/DD/YYYY")),0)&gt;=DATE(2029,8,1),IFERROR(DATEVALUE(TEXT(Assumptions!B58,"MM/DD/YYYY")),0)&lt;=DATE(2029,8,31)),-(Assumptions!G58+(Assumptions!G58*Assumptions!F58)),0)</f>
        <v/>
      </c>
      <c r="AL26" s="156">
        <f>IF(AND(Assumptions!B58&lt;&gt;"",IFERROR(DATEVALUE(TEXT(Assumptions!B58,"MM/DD/YYYY")),0)&gt;=DATE(2029,9,1),IFERROR(DATEVALUE(TEXT(Assumptions!B58,"MM/DD/YYYY")),0)&lt;=DATE(2029,9,30)),-(Assumptions!G58+(Assumptions!G58*Assumptions!F58)),0)</f>
        <v/>
      </c>
      <c r="AM26" s="156">
        <f>IF(AND(Assumptions!B58&lt;&gt;"",IFERROR(DATEVALUE(TEXT(Assumptions!B58,"MM/DD/YYYY")),0)&gt;=DATE(2029,10,1),IFERROR(DATEVALUE(TEXT(Assumptions!B58,"MM/DD/YYYY")),0)&lt;=DATE(2029,10,31)),-(Assumptions!G58+(Assumptions!G58*Assumptions!F58)),0)</f>
        <v/>
      </c>
      <c r="AN26" s="156">
        <f>IF(AND(Assumptions!B58&lt;&gt;"",IFERROR(DATEVALUE(TEXT(Assumptions!B58,"MM/DD/YYYY")),0)&gt;=DATE(2029,11,1),IFERROR(DATEVALUE(TEXT(Assumptions!B58,"MM/DD/YYYY")),0)&lt;=DATE(2029,11,30)),-(Assumptions!G58+(Assumptions!G58*Assumptions!F58)),0)</f>
        <v/>
      </c>
      <c r="AO26" s="156">
        <f>IF(AND(Assumptions!B58&lt;&gt;"",IFERROR(DATEVALUE(TEXT(Assumptions!B58,"MM/DD/YYYY")),0)&gt;=DATE(2029,12,1),IFERROR(DATEVALUE(TEXT(Assumptions!B58,"MM/DD/YYYY")),0)&lt;=DATE(2029,12,31)),-(Assumptions!G58+(Assumptions!G58*Assumptions!F58)),0)</f>
        <v/>
      </c>
      <c r="AP26" s="156">
        <f>IF(AND(Assumptions!B58&lt;&gt;"",IFERROR(DATEVALUE(TEXT(Assumptions!B58,"MM/DD/YYYY")),0)&gt;=DATE(2030,1,1),IFERROR(DATEVALUE(TEXT(Assumptions!B58,"MM/DD/YYYY")),0)&lt;=DATE(2030,1,31)),-(Assumptions!G58+(Assumptions!G58*Assumptions!F58)),0)</f>
        <v/>
      </c>
      <c r="AQ26" s="156">
        <f>IF(AND(Assumptions!B58&lt;&gt;"",IFERROR(DATEVALUE(TEXT(Assumptions!B58,"MM/DD/YYYY")),0)&gt;=DATE(2030,2,1),IFERROR(DATEVALUE(TEXT(Assumptions!B58,"MM/DD/YYYY")),0)&lt;=DATE(2030,2,28)),-(Assumptions!G58+(Assumptions!G58*Assumptions!F58)),0)</f>
        <v/>
      </c>
      <c r="AR26" s="156">
        <f>IF(AND(Assumptions!B58&lt;&gt;"",IFERROR(DATEVALUE(TEXT(Assumptions!B58,"MM/DD/YYYY")),0)&gt;=DATE(2030,3,1),IFERROR(DATEVALUE(TEXT(Assumptions!B58,"MM/DD/YYYY")),0)&lt;=DATE(2030,3,31)),-(Assumptions!G58+(Assumptions!G58*Assumptions!F58)),0)</f>
        <v/>
      </c>
      <c r="AS26" s="156">
        <f>IF(AND(Assumptions!B58&lt;&gt;"",IFERROR(DATEVALUE(TEXT(Assumptions!B58,"MM/DD/YYYY")),0)&gt;=DATE(2030,4,1),IFERROR(DATEVALUE(TEXT(Assumptions!B58,"MM/DD/YYYY")),0)&lt;=DATE(2030,4,30)),-(Assumptions!G58+(Assumptions!G58*Assumptions!F58)),0)</f>
        <v/>
      </c>
      <c r="AT26" s="156">
        <f>IF(AND(Assumptions!B58&lt;&gt;"",IFERROR(DATEVALUE(TEXT(Assumptions!B58,"MM/DD/YYYY")),0)&gt;=DATE(2030,5,1),IFERROR(DATEVALUE(TEXT(Assumptions!B58,"MM/DD/YYYY")),0)&lt;=DATE(2030,5,31)),-(Assumptions!G58+(Assumptions!G58*Assumptions!F58)),0)</f>
        <v/>
      </c>
      <c r="AU26" s="156">
        <f>IF(AND(Assumptions!B58&lt;&gt;"",IFERROR(DATEVALUE(TEXT(Assumptions!B58,"MM/DD/YYYY")),0)&gt;=DATE(2030,6,1),IFERROR(DATEVALUE(TEXT(Assumptions!B58,"MM/DD/YYYY")),0)&lt;=DATE(2030,6,30)),-(Assumptions!G58+(Assumptions!G58*Assumptions!F58)),0)</f>
        <v/>
      </c>
      <c r="AV26" s="156">
        <f>IF(AND(Assumptions!B58&lt;&gt;"",IFERROR(DATEVALUE(TEXT(Assumptions!B58,"MM/DD/YYYY")),0)&gt;=DATE(2030,7,1),IFERROR(DATEVALUE(TEXT(Assumptions!B58,"MM/DD/YYYY")),0)&lt;=DATE(2030,7,31)),-(Assumptions!G58+(Assumptions!G58*Assumptions!F58)),0)</f>
        <v/>
      </c>
      <c r="AW26" s="156">
        <f>IF(AND(Assumptions!B58&lt;&gt;"",IFERROR(DATEVALUE(TEXT(Assumptions!B58,"MM/DD/YYYY")),0)&gt;=DATE(2030,8,1),IFERROR(DATEVALUE(TEXT(Assumptions!B58,"MM/DD/YYYY")),0)&lt;=DATE(2030,8,31)),-(Assumptions!G58+(Assumptions!G58*Assumptions!F58)),0)</f>
        <v/>
      </c>
      <c r="AX26" s="156">
        <f>IF(AND(Assumptions!B58&lt;&gt;"",IFERROR(DATEVALUE(TEXT(Assumptions!B58,"MM/DD/YYYY")),0)&gt;=DATE(2030,9,1),IFERROR(DATEVALUE(TEXT(Assumptions!B58,"MM/DD/YYYY")),0)&lt;=DATE(2030,9,30)),-(Assumptions!G58+(Assumptions!G58*Assumptions!F58)),0)</f>
        <v/>
      </c>
      <c r="AY26" s="156">
        <f>IF(AND(Assumptions!B58&lt;&gt;"",IFERROR(DATEVALUE(TEXT(Assumptions!B58,"MM/DD/YYYY")),0)&gt;=DATE(2030,10,1),IFERROR(DATEVALUE(TEXT(Assumptions!B58,"MM/DD/YYYY")),0)&lt;=DATE(2030,10,31)),-(Assumptions!G58+(Assumptions!G58*Assumptions!F58)),0)</f>
        <v/>
      </c>
      <c r="AZ26" s="156">
        <f>IF(AND(Assumptions!B58&lt;&gt;"",IFERROR(DATEVALUE(TEXT(Assumptions!B58,"MM/DD/YYYY")),0)&gt;=DATE(2030,11,1),IFERROR(DATEVALUE(TEXT(Assumptions!B58,"MM/DD/YYYY")),0)&lt;=DATE(2030,11,30)),-(Assumptions!G58+(Assumptions!G58*Assumptions!F58)),0)</f>
        <v/>
      </c>
      <c r="BA26" s="156">
        <f>IF(AND(Assumptions!B58&lt;&gt;"",IFERROR(DATEVALUE(TEXT(Assumptions!B58,"MM/DD/YYYY")),0)&gt;=DATE(2030,12,1),IFERROR(DATEVALUE(TEXT(Assumptions!B58,"MM/DD/YYYY")),0)&lt;=DATE(2030,12,31)),-(Assumptions!G58+(Assumptions!G58*Assumptions!F58)),0)</f>
        <v/>
      </c>
      <c r="BB26" s="156">
        <f>IF(AND(Assumptions!B58&lt;&gt;"",IFERROR(DATEVALUE(TEXT(Assumptions!B58,"MM/DD/YYYY")),0)&gt;=DATE(2031,1,1),IFERROR(DATEVALUE(TEXT(Assumptions!B58,"MM/DD/YYYY")),0)&lt;=DATE(2031,1,31)),-(Assumptions!G58+(Assumptions!G58*Assumptions!F58)),0)</f>
        <v/>
      </c>
      <c r="BC26" s="156">
        <f>IF(AND(Assumptions!B58&lt;&gt;"",IFERROR(DATEVALUE(TEXT(Assumptions!B58,"MM/DD/YYYY")),0)&gt;=DATE(2031,2,1),IFERROR(DATEVALUE(TEXT(Assumptions!B58,"MM/DD/YYYY")),0)&lt;=DATE(2031,2,28)),-(Assumptions!G58+(Assumptions!G58*Assumptions!F58)),0)</f>
        <v/>
      </c>
      <c r="BD26" s="156">
        <f>IF(AND(Assumptions!B58&lt;&gt;"",IFERROR(DATEVALUE(TEXT(Assumptions!B58,"MM/DD/YYYY")),0)&gt;=DATE(2031,3,1),IFERROR(DATEVALUE(TEXT(Assumptions!B58,"MM/DD/YYYY")),0)&lt;=DATE(2031,3,31)),-(Assumptions!G58+(Assumptions!G58*Assumptions!F58)),0)</f>
        <v/>
      </c>
      <c r="BE26" s="156">
        <f>IF(AND(Assumptions!B58&lt;&gt;"",IFERROR(DATEVALUE(TEXT(Assumptions!B58,"MM/DD/YYYY")),0)&gt;=DATE(2031,4,1),IFERROR(DATEVALUE(TEXT(Assumptions!B58,"MM/DD/YYYY")),0)&lt;=DATE(2031,4,30)),-(Assumptions!G58+(Assumptions!G58*Assumptions!F58)),0)</f>
        <v/>
      </c>
      <c r="BF26" s="156">
        <f>IF(AND(Assumptions!B58&lt;&gt;"",IFERROR(DATEVALUE(TEXT(Assumptions!B58,"MM/DD/YYYY")),0)&gt;=DATE(2031,5,1),IFERROR(DATEVALUE(TEXT(Assumptions!B58,"MM/DD/YYYY")),0)&lt;=DATE(2031,5,31)),-(Assumptions!G58+(Assumptions!G58*Assumptions!F58)),0)</f>
        <v/>
      </c>
      <c r="BG26" s="156">
        <f>IF(AND(Assumptions!B58&lt;&gt;"",IFERROR(DATEVALUE(TEXT(Assumptions!B58,"MM/DD/YYYY")),0)&gt;=DATE(2031,6,1),IFERROR(DATEVALUE(TEXT(Assumptions!B58,"MM/DD/YYYY")),0)&lt;=DATE(2031,6,30)),-(Assumptions!G58+(Assumptions!G58*Assumptions!F58)),0)</f>
        <v/>
      </c>
      <c r="BH26" s="156">
        <f>IF(AND(Assumptions!B58&lt;&gt;"",IFERROR(DATEVALUE(TEXT(Assumptions!B58,"MM/DD/YYYY")),0)&gt;=DATE(2031,7,1),IFERROR(DATEVALUE(TEXT(Assumptions!B58,"MM/DD/YYYY")),0)&lt;=DATE(2031,7,31)),-(Assumptions!G58+(Assumptions!G58*Assumptions!F58)),0)</f>
        <v/>
      </c>
      <c r="BI26" s="156">
        <f>IF(AND(Assumptions!B58&lt;&gt;"",IFERROR(DATEVALUE(TEXT(Assumptions!B58,"MM/DD/YYYY")),0)&gt;=DATE(2031,8,1),IFERROR(DATEVALUE(TEXT(Assumptions!B58,"MM/DD/YYYY")),0)&lt;=DATE(2031,8,31)),-(Assumptions!G58+(Assumptions!G58*Assumptions!F58)),0)</f>
        <v/>
      </c>
      <c r="BJ26" s="156">
        <f>IF(AND(Assumptions!B58&lt;&gt;"",IFERROR(DATEVALUE(TEXT(Assumptions!B58,"MM/DD/YYYY")),0)&gt;=DATE(2031,9,1),IFERROR(DATEVALUE(TEXT(Assumptions!B58,"MM/DD/YYYY")),0)&lt;=DATE(2031,9,30)),-(Assumptions!G58+(Assumptions!G58*Assumptions!F58)),0)</f>
        <v/>
      </c>
      <c r="BL26" s="157">
        <f>C26+D26+E26+F26+G26+H26+I26+J26+K26+L26+M26+N26</f>
        <v/>
      </c>
      <c r="BM26" s="157">
        <f>O26+P26+Q26+R26+S26+T26+U26+V26+W26+X26+Y26+Z26</f>
        <v/>
      </c>
      <c r="BN26" s="157">
        <f>AA26+AB26+AC26+AD26+AE26+AF26+AG26+AH26+AI26+AJ26+AK26+AL26</f>
        <v/>
      </c>
      <c r="BO26" s="157">
        <f>AM26+AN26+AO26+AP26+AQ26+AR26+AS26+AT26+AU26+AV26+AW26+AX26</f>
        <v/>
      </c>
      <c r="BP26" s="157">
        <f>AY26+AZ26+BA26+BB26+BC26+BD26+BE26+BF26+BG26+BH26+BI26+BJ26</f>
        <v/>
      </c>
    </row>
    <row r="27" ht="15" customHeight="1" s="104">
      <c r="A27" s="107" t="inlineStr">
        <is>
          <t xml:space="preserve">    Add-On 9 Acquisition (TEV + Transaction Fees)</t>
        </is>
      </c>
      <c r="C27" s="156">
        <f>IF(AND(Assumptions!B59&lt;&gt;"",IFERROR(DATEVALUE(TEXT(Assumptions!B59,"MM/DD/YYYY")),0)&gt;=DATE(2026,10,1),IFERROR(DATEVALUE(TEXT(Assumptions!B59,"MM/DD/YYYY")),0)&lt;=DATE(2026,10,31)),-(Assumptions!G59+(Assumptions!G59*Assumptions!F59)),0)</f>
        <v/>
      </c>
      <c r="D27" s="156">
        <f>IF(AND(Assumptions!B59&lt;&gt;"",IFERROR(DATEVALUE(TEXT(Assumptions!B59,"MM/DD/YYYY")),0)&gt;=DATE(2026,11,1),IFERROR(DATEVALUE(TEXT(Assumptions!B59,"MM/DD/YYYY")),0)&lt;=DATE(2026,11,30)),-(Assumptions!G59+(Assumptions!G59*Assumptions!F59)),0)</f>
        <v/>
      </c>
      <c r="E27" s="156">
        <f>IF(AND(Assumptions!B59&lt;&gt;"",IFERROR(DATEVALUE(TEXT(Assumptions!B59,"MM/DD/YYYY")),0)&gt;=DATE(2026,12,1),IFERROR(DATEVALUE(TEXT(Assumptions!B59,"MM/DD/YYYY")),0)&lt;=DATE(2026,12,31)),-(Assumptions!G59+(Assumptions!G59*Assumptions!F59)),0)</f>
        <v/>
      </c>
      <c r="F27" s="156">
        <f>IF(AND(Assumptions!B59&lt;&gt;"",IFERROR(DATEVALUE(TEXT(Assumptions!B59,"MM/DD/YYYY")),0)&gt;=DATE(2027,1,1),IFERROR(DATEVALUE(TEXT(Assumptions!B59,"MM/DD/YYYY")),0)&lt;=DATE(2027,1,31)),-(Assumptions!G59+(Assumptions!G59*Assumptions!F59)),0)</f>
        <v/>
      </c>
      <c r="G27" s="156">
        <f>IF(AND(Assumptions!B59&lt;&gt;"",IFERROR(DATEVALUE(TEXT(Assumptions!B59,"MM/DD/YYYY")),0)&gt;=DATE(2027,2,1),IFERROR(DATEVALUE(TEXT(Assumptions!B59,"MM/DD/YYYY")),0)&lt;=DATE(2027,2,28)),-(Assumptions!G59+(Assumptions!G59*Assumptions!F59)),0)</f>
        <v/>
      </c>
      <c r="H27" s="156">
        <f>IF(AND(Assumptions!B59&lt;&gt;"",IFERROR(DATEVALUE(TEXT(Assumptions!B59,"MM/DD/YYYY")),0)&gt;=DATE(2027,3,1),IFERROR(DATEVALUE(TEXT(Assumptions!B59,"MM/DD/YYYY")),0)&lt;=DATE(2027,3,31)),-(Assumptions!G59+(Assumptions!G59*Assumptions!F59)),0)</f>
        <v/>
      </c>
      <c r="I27" s="156">
        <f>IF(AND(Assumptions!B59&lt;&gt;"",IFERROR(DATEVALUE(TEXT(Assumptions!B59,"MM/DD/YYYY")),0)&gt;=DATE(2027,4,1),IFERROR(DATEVALUE(TEXT(Assumptions!B59,"MM/DD/YYYY")),0)&lt;=DATE(2027,4,30)),-(Assumptions!G59+(Assumptions!G59*Assumptions!F59)),0)</f>
        <v/>
      </c>
      <c r="J27" s="156">
        <f>IF(AND(Assumptions!B59&lt;&gt;"",IFERROR(DATEVALUE(TEXT(Assumptions!B59,"MM/DD/YYYY")),0)&gt;=DATE(2027,5,1),IFERROR(DATEVALUE(TEXT(Assumptions!B59,"MM/DD/YYYY")),0)&lt;=DATE(2027,5,31)),-(Assumptions!G59+(Assumptions!G59*Assumptions!F59)),0)</f>
        <v/>
      </c>
      <c r="K27" s="156">
        <f>IF(AND(Assumptions!B59&lt;&gt;"",IFERROR(DATEVALUE(TEXT(Assumptions!B59,"MM/DD/YYYY")),0)&gt;=DATE(2027,6,1),IFERROR(DATEVALUE(TEXT(Assumptions!B59,"MM/DD/YYYY")),0)&lt;=DATE(2027,6,30)),-(Assumptions!G59+(Assumptions!G59*Assumptions!F59)),0)</f>
        <v/>
      </c>
      <c r="L27" s="156">
        <f>IF(AND(Assumptions!B59&lt;&gt;"",IFERROR(DATEVALUE(TEXT(Assumptions!B59,"MM/DD/YYYY")),0)&gt;=DATE(2027,7,1),IFERROR(DATEVALUE(TEXT(Assumptions!B59,"MM/DD/YYYY")),0)&lt;=DATE(2027,7,31)),-(Assumptions!G59+(Assumptions!G59*Assumptions!F59)),0)</f>
        <v/>
      </c>
      <c r="M27" s="156">
        <f>IF(AND(Assumptions!B59&lt;&gt;"",IFERROR(DATEVALUE(TEXT(Assumptions!B59,"MM/DD/YYYY")),0)&gt;=DATE(2027,8,1),IFERROR(DATEVALUE(TEXT(Assumptions!B59,"MM/DD/YYYY")),0)&lt;=DATE(2027,8,31)),-(Assumptions!G59+(Assumptions!G59*Assumptions!F59)),0)</f>
        <v/>
      </c>
      <c r="N27" s="156">
        <f>IF(AND(Assumptions!B59&lt;&gt;"",IFERROR(DATEVALUE(TEXT(Assumptions!B59,"MM/DD/YYYY")),0)&gt;=DATE(2027,9,1),IFERROR(DATEVALUE(TEXT(Assumptions!B59,"MM/DD/YYYY")),0)&lt;=DATE(2027,9,30)),-(Assumptions!G59+(Assumptions!G59*Assumptions!F59)),0)</f>
        <v/>
      </c>
      <c r="O27" s="156">
        <f>IF(AND(Assumptions!B59&lt;&gt;"",IFERROR(DATEVALUE(TEXT(Assumptions!B59,"MM/DD/YYYY")),0)&gt;=DATE(2027,10,1),IFERROR(DATEVALUE(TEXT(Assumptions!B59,"MM/DD/YYYY")),0)&lt;=DATE(2027,10,31)),-(Assumptions!G59+(Assumptions!G59*Assumptions!F59)),0)</f>
        <v/>
      </c>
      <c r="P27" s="156">
        <f>IF(AND(Assumptions!B59&lt;&gt;"",IFERROR(DATEVALUE(TEXT(Assumptions!B59,"MM/DD/YYYY")),0)&gt;=DATE(2027,11,1),IFERROR(DATEVALUE(TEXT(Assumptions!B59,"MM/DD/YYYY")),0)&lt;=DATE(2027,11,30)),-(Assumptions!G59+(Assumptions!G59*Assumptions!F59)),0)</f>
        <v/>
      </c>
      <c r="Q27" s="156">
        <f>IF(AND(Assumptions!B59&lt;&gt;"",IFERROR(DATEVALUE(TEXT(Assumptions!B59,"MM/DD/YYYY")),0)&gt;=DATE(2027,12,1),IFERROR(DATEVALUE(TEXT(Assumptions!B59,"MM/DD/YYYY")),0)&lt;=DATE(2027,12,31)),-(Assumptions!G59+(Assumptions!G59*Assumptions!F59)),0)</f>
        <v/>
      </c>
      <c r="R27" s="156">
        <f>IF(AND(Assumptions!B59&lt;&gt;"",IFERROR(DATEVALUE(TEXT(Assumptions!B59,"MM/DD/YYYY")),0)&gt;=DATE(2028,1,1),IFERROR(DATEVALUE(TEXT(Assumptions!B59,"MM/DD/YYYY")),0)&lt;=DATE(2028,1,31)),-(Assumptions!G59+(Assumptions!G59*Assumptions!F59)),0)</f>
        <v/>
      </c>
      <c r="S27" s="156">
        <f>IF(AND(Assumptions!B59&lt;&gt;"",IFERROR(DATEVALUE(TEXT(Assumptions!B59,"MM/DD/YYYY")),0)&gt;=DATE(2028,2,1),IFERROR(DATEVALUE(TEXT(Assumptions!B59,"MM/DD/YYYY")),0)&lt;=DATE(2028,2,29)),-(Assumptions!G59+(Assumptions!G59*Assumptions!F59)),0)</f>
        <v/>
      </c>
      <c r="T27" s="156">
        <f>IF(AND(Assumptions!B59&lt;&gt;"",IFERROR(DATEVALUE(TEXT(Assumptions!B59,"MM/DD/YYYY")),0)&gt;=DATE(2028,3,1),IFERROR(DATEVALUE(TEXT(Assumptions!B59,"MM/DD/YYYY")),0)&lt;=DATE(2028,3,31)),-(Assumptions!G59+(Assumptions!G59*Assumptions!F59)),0)</f>
        <v/>
      </c>
      <c r="U27" s="156">
        <f>IF(AND(Assumptions!B59&lt;&gt;"",IFERROR(DATEVALUE(TEXT(Assumptions!B59,"MM/DD/YYYY")),0)&gt;=DATE(2028,4,1),IFERROR(DATEVALUE(TEXT(Assumptions!B59,"MM/DD/YYYY")),0)&lt;=DATE(2028,4,30)),-(Assumptions!G59+(Assumptions!G59*Assumptions!F59)),0)</f>
        <v/>
      </c>
      <c r="V27" s="156">
        <f>IF(AND(Assumptions!B59&lt;&gt;"",IFERROR(DATEVALUE(TEXT(Assumptions!B59,"MM/DD/YYYY")),0)&gt;=DATE(2028,5,1),IFERROR(DATEVALUE(TEXT(Assumptions!B59,"MM/DD/YYYY")),0)&lt;=DATE(2028,5,31)),-(Assumptions!G59+(Assumptions!G59*Assumptions!F59)),0)</f>
        <v/>
      </c>
      <c r="W27" s="156">
        <f>IF(AND(Assumptions!B59&lt;&gt;"",IFERROR(DATEVALUE(TEXT(Assumptions!B59,"MM/DD/YYYY")),0)&gt;=DATE(2028,6,1),IFERROR(DATEVALUE(TEXT(Assumptions!B59,"MM/DD/YYYY")),0)&lt;=DATE(2028,6,30)),-(Assumptions!G59+(Assumptions!G59*Assumptions!F59)),0)</f>
        <v/>
      </c>
      <c r="X27" s="156">
        <f>IF(AND(Assumptions!B59&lt;&gt;"",IFERROR(DATEVALUE(TEXT(Assumptions!B59,"MM/DD/YYYY")),0)&gt;=DATE(2028,7,1),IFERROR(DATEVALUE(TEXT(Assumptions!B59,"MM/DD/YYYY")),0)&lt;=DATE(2028,7,31)),-(Assumptions!G59+(Assumptions!G59*Assumptions!F59)),0)</f>
        <v/>
      </c>
      <c r="Y27" s="156">
        <f>IF(AND(Assumptions!B59&lt;&gt;"",IFERROR(DATEVALUE(TEXT(Assumptions!B59,"MM/DD/YYYY")),0)&gt;=DATE(2028,8,1),IFERROR(DATEVALUE(TEXT(Assumptions!B59,"MM/DD/YYYY")),0)&lt;=DATE(2028,8,31)),-(Assumptions!G59+(Assumptions!G59*Assumptions!F59)),0)</f>
        <v/>
      </c>
      <c r="Z27" s="156">
        <f>IF(AND(Assumptions!B59&lt;&gt;"",IFERROR(DATEVALUE(TEXT(Assumptions!B59,"MM/DD/YYYY")),0)&gt;=DATE(2028,9,1),IFERROR(DATEVALUE(TEXT(Assumptions!B59,"MM/DD/YYYY")),0)&lt;=DATE(2028,9,30)),-(Assumptions!G59+(Assumptions!G59*Assumptions!F59)),0)</f>
        <v/>
      </c>
      <c r="AA27" s="156">
        <f>IF(AND(Assumptions!B59&lt;&gt;"",IFERROR(DATEVALUE(TEXT(Assumptions!B59,"MM/DD/YYYY")),0)&gt;=DATE(2028,10,1),IFERROR(DATEVALUE(TEXT(Assumptions!B59,"MM/DD/YYYY")),0)&lt;=DATE(2028,10,31)),-(Assumptions!G59+(Assumptions!G59*Assumptions!F59)),0)</f>
        <v/>
      </c>
      <c r="AB27" s="156">
        <f>IF(AND(Assumptions!B59&lt;&gt;"",IFERROR(DATEVALUE(TEXT(Assumptions!B59,"MM/DD/YYYY")),0)&gt;=DATE(2028,11,1),IFERROR(DATEVALUE(TEXT(Assumptions!B59,"MM/DD/YYYY")),0)&lt;=DATE(2028,11,30)),-(Assumptions!G59+(Assumptions!G59*Assumptions!F59)),0)</f>
        <v/>
      </c>
      <c r="AC27" s="156">
        <f>IF(AND(Assumptions!B59&lt;&gt;"",IFERROR(DATEVALUE(TEXT(Assumptions!B59,"MM/DD/YYYY")),0)&gt;=DATE(2028,12,1),IFERROR(DATEVALUE(TEXT(Assumptions!B59,"MM/DD/YYYY")),0)&lt;=DATE(2028,12,31)),-(Assumptions!G59+(Assumptions!G59*Assumptions!F59)),0)</f>
        <v/>
      </c>
      <c r="AD27" s="156">
        <f>IF(AND(Assumptions!B59&lt;&gt;"",IFERROR(DATEVALUE(TEXT(Assumptions!B59,"MM/DD/YYYY")),0)&gt;=DATE(2029,1,1),IFERROR(DATEVALUE(TEXT(Assumptions!B59,"MM/DD/YYYY")),0)&lt;=DATE(2029,1,31)),-(Assumptions!G59+(Assumptions!G59*Assumptions!F59)),0)</f>
        <v/>
      </c>
      <c r="AE27" s="156">
        <f>IF(AND(Assumptions!B59&lt;&gt;"",IFERROR(DATEVALUE(TEXT(Assumptions!B59,"MM/DD/YYYY")),0)&gt;=DATE(2029,2,1),IFERROR(DATEVALUE(TEXT(Assumptions!B59,"MM/DD/YYYY")),0)&lt;=DATE(2029,2,28)),-(Assumptions!G59+(Assumptions!G59*Assumptions!F59)),0)</f>
        <v/>
      </c>
      <c r="AF27" s="156">
        <f>IF(AND(Assumptions!B59&lt;&gt;"",IFERROR(DATEVALUE(TEXT(Assumptions!B59,"MM/DD/YYYY")),0)&gt;=DATE(2029,3,1),IFERROR(DATEVALUE(TEXT(Assumptions!B59,"MM/DD/YYYY")),0)&lt;=DATE(2029,3,31)),-(Assumptions!G59+(Assumptions!G59*Assumptions!F59)),0)</f>
        <v/>
      </c>
      <c r="AG27" s="156">
        <f>IF(AND(Assumptions!B59&lt;&gt;"",IFERROR(DATEVALUE(TEXT(Assumptions!B59,"MM/DD/YYYY")),0)&gt;=DATE(2029,4,1),IFERROR(DATEVALUE(TEXT(Assumptions!B59,"MM/DD/YYYY")),0)&lt;=DATE(2029,4,30)),-(Assumptions!G59+(Assumptions!G59*Assumptions!F59)),0)</f>
        <v/>
      </c>
      <c r="AH27" s="156">
        <f>IF(AND(Assumptions!B59&lt;&gt;"",IFERROR(DATEVALUE(TEXT(Assumptions!B59,"MM/DD/YYYY")),0)&gt;=DATE(2029,5,1),IFERROR(DATEVALUE(TEXT(Assumptions!B59,"MM/DD/YYYY")),0)&lt;=DATE(2029,5,31)),-(Assumptions!G59+(Assumptions!G59*Assumptions!F59)),0)</f>
        <v/>
      </c>
      <c r="AI27" s="156">
        <f>IF(AND(Assumptions!B59&lt;&gt;"",IFERROR(DATEVALUE(TEXT(Assumptions!B59,"MM/DD/YYYY")),0)&gt;=DATE(2029,6,1),IFERROR(DATEVALUE(TEXT(Assumptions!B59,"MM/DD/YYYY")),0)&lt;=DATE(2029,6,30)),-(Assumptions!G59+(Assumptions!G59*Assumptions!F59)),0)</f>
        <v/>
      </c>
      <c r="AJ27" s="156">
        <f>IF(AND(Assumptions!B59&lt;&gt;"",IFERROR(DATEVALUE(TEXT(Assumptions!B59,"MM/DD/YYYY")),0)&gt;=DATE(2029,7,1),IFERROR(DATEVALUE(TEXT(Assumptions!B59,"MM/DD/YYYY")),0)&lt;=DATE(2029,7,31)),-(Assumptions!G59+(Assumptions!G59*Assumptions!F59)),0)</f>
        <v/>
      </c>
      <c r="AK27" s="156">
        <f>IF(AND(Assumptions!B59&lt;&gt;"",IFERROR(DATEVALUE(TEXT(Assumptions!B59,"MM/DD/YYYY")),0)&gt;=DATE(2029,8,1),IFERROR(DATEVALUE(TEXT(Assumptions!B59,"MM/DD/YYYY")),0)&lt;=DATE(2029,8,31)),-(Assumptions!G59+(Assumptions!G59*Assumptions!F59)),0)</f>
        <v/>
      </c>
      <c r="AL27" s="156">
        <f>IF(AND(Assumptions!B59&lt;&gt;"",IFERROR(DATEVALUE(TEXT(Assumptions!B59,"MM/DD/YYYY")),0)&gt;=DATE(2029,9,1),IFERROR(DATEVALUE(TEXT(Assumptions!B59,"MM/DD/YYYY")),0)&lt;=DATE(2029,9,30)),-(Assumptions!G59+(Assumptions!G59*Assumptions!F59)),0)</f>
        <v/>
      </c>
      <c r="AM27" s="156">
        <f>IF(AND(Assumptions!B59&lt;&gt;"",IFERROR(DATEVALUE(TEXT(Assumptions!B59,"MM/DD/YYYY")),0)&gt;=DATE(2029,10,1),IFERROR(DATEVALUE(TEXT(Assumptions!B59,"MM/DD/YYYY")),0)&lt;=DATE(2029,10,31)),-(Assumptions!G59+(Assumptions!G59*Assumptions!F59)),0)</f>
        <v/>
      </c>
      <c r="AN27" s="156">
        <f>IF(AND(Assumptions!B59&lt;&gt;"",IFERROR(DATEVALUE(TEXT(Assumptions!B59,"MM/DD/YYYY")),0)&gt;=DATE(2029,11,1),IFERROR(DATEVALUE(TEXT(Assumptions!B59,"MM/DD/YYYY")),0)&lt;=DATE(2029,11,30)),-(Assumptions!G59+(Assumptions!G59*Assumptions!F59)),0)</f>
        <v/>
      </c>
      <c r="AO27" s="156">
        <f>IF(AND(Assumptions!B59&lt;&gt;"",IFERROR(DATEVALUE(TEXT(Assumptions!B59,"MM/DD/YYYY")),0)&gt;=DATE(2029,12,1),IFERROR(DATEVALUE(TEXT(Assumptions!B59,"MM/DD/YYYY")),0)&lt;=DATE(2029,12,31)),-(Assumptions!G59+(Assumptions!G59*Assumptions!F59)),0)</f>
        <v/>
      </c>
      <c r="AP27" s="156">
        <f>IF(AND(Assumptions!B59&lt;&gt;"",IFERROR(DATEVALUE(TEXT(Assumptions!B59,"MM/DD/YYYY")),0)&gt;=DATE(2030,1,1),IFERROR(DATEVALUE(TEXT(Assumptions!B59,"MM/DD/YYYY")),0)&lt;=DATE(2030,1,31)),-(Assumptions!G59+(Assumptions!G59*Assumptions!F59)),0)</f>
        <v/>
      </c>
      <c r="AQ27" s="156">
        <f>IF(AND(Assumptions!B59&lt;&gt;"",IFERROR(DATEVALUE(TEXT(Assumptions!B59,"MM/DD/YYYY")),0)&gt;=DATE(2030,2,1),IFERROR(DATEVALUE(TEXT(Assumptions!B59,"MM/DD/YYYY")),0)&lt;=DATE(2030,2,28)),-(Assumptions!G59+(Assumptions!G59*Assumptions!F59)),0)</f>
        <v/>
      </c>
      <c r="AR27" s="156">
        <f>IF(AND(Assumptions!B59&lt;&gt;"",IFERROR(DATEVALUE(TEXT(Assumptions!B59,"MM/DD/YYYY")),0)&gt;=DATE(2030,3,1),IFERROR(DATEVALUE(TEXT(Assumptions!B59,"MM/DD/YYYY")),0)&lt;=DATE(2030,3,31)),-(Assumptions!G59+(Assumptions!G59*Assumptions!F59)),0)</f>
        <v/>
      </c>
      <c r="AS27" s="156">
        <f>IF(AND(Assumptions!B59&lt;&gt;"",IFERROR(DATEVALUE(TEXT(Assumptions!B59,"MM/DD/YYYY")),0)&gt;=DATE(2030,4,1),IFERROR(DATEVALUE(TEXT(Assumptions!B59,"MM/DD/YYYY")),0)&lt;=DATE(2030,4,30)),-(Assumptions!G59+(Assumptions!G59*Assumptions!F59)),0)</f>
        <v/>
      </c>
      <c r="AT27" s="156">
        <f>IF(AND(Assumptions!B59&lt;&gt;"",IFERROR(DATEVALUE(TEXT(Assumptions!B59,"MM/DD/YYYY")),0)&gt;=DATE(2030,5,1),IFERROR(DATEVALUE(TEXT(Assumptions!B59,"MM/DD/YYYY")),0)&lt;=DATE(2030,5,31)),-(Assumptions!G59+(Assumptions!G59*Assumptions!F59)),0)</f>
        <v/>
      </c>
      <c r="AU27" s="156">
        <f>IF(AND(Assumptions!B59&lt;&gt;"",IFERROR(DATEVALUE(TEXT(Assumptions!B59,"MM/DD/YYYY")),0)&gt;=DATE(2030,6,1),IFERROR(DATEVALUE(TEXT(Assumptions!B59,"MM/DD/YYYY")),0)&lt;=DATE(2030,6,30)),-(Assumptions!G59+(Assumptions!G59*Assumptions!F59)),0)</f>
        <v/>
      </c>
      <c r="AV27" s="156">
        <f>IF(AND(Assumptions!B59&lt;&gt;"",IFERROR(DATEVALUE(TEXT(Assumptions!B59,"MM/DD/YYYY")),0)&gt;=DATE(2030,7,1),IFERROR(DATEVALUE(TEXT(Assumptions!B59,"MM/DD/YYYY")),0)&lt;=DATE(2030,7,31)),-(Assumptions!G59+(Assumptions!G59*Assumptions!F59)),0)</f>
        <v/>
      </c>
      <c r="AW27" s="156">
        <f>IF(AND(Assumptions!B59&lt;&gt;"",IFERROR(DATEVALUE(TEXT(Assumptions!B59,"MM/DD/YYYY")),0)&gt;=DATE(2030,8,1),IFERROR(DATEVALUE(TEXT(Assumptions!B59,"MM/DD/YYYY")),0)&lt;=DATE(2030,8,31)),-(Assumptions!G59+(Assumptions!G59*Assumptions!F59)),0)</f>
        <v/>
      </c>
      <c r="AX27" s="156">
        <f>IF(AND(Assumptions!B59&lt;&gt;"",IFERROR(DATEVALUE(TEXT(Assumptions!B59,"MM/DD/YYYY")),0)&gt;=DATE(2030,9,1),IFERROR(DATEVALUE(TEXT(Assumptions!B59,"MM/DD/YYYY")),0)&lt;=DATE(2030,9,30)),-(Assumptions!G59+(Assumptions!G59*Assumptions!F59)),0)</f>
        <v/>
      </c>
      <c r="AY27" s="156">
        <f>IF(AND(Assumptions!B59&lt;&gt;"",IFERROR(DATEVALUE(TEXT(Assumptions!B59,"MM/DD/YYYY")),0)&gt;=DATE(2030,10,1),IFERROR(DATEVALUE(TEXT(Assumptions!B59,"MM/DD/YYYY")),0)&lt;=DATE(2030,10,31)),-(Assumptions!G59+(Assumptions!G59*Assumptions!F59)),0)</f>
        <v/>
      </c>
      <c r="AZ27" s="156">
        <f>IF(AND(Assumptions!B59&lt;&gt;"",IFERROR(DATEVALUE(TEXT(Assumptions!B59,"MM/DD/YYYY")),0)&gt;=DATE(2030,11,1),IFERROR(DATEVALUE(TEXT(Assumptions!B59,"MM/DD/YYYY")),0)&lt;=DATE(2030,11,30)),-(Assumptions!G59+(Assumptions!G59*Assumptions!F59)),0)</f>
        <v/>
      </c>
      <c r="BA27" s="156">
        <f>IF(AND(Assumptions!B59&lt;&gt;"",IFERROR(DATEVALUE(TEXT(Assumptions!B59,"MM/DD/YYYY")),0)&gt;=DATE(2030,12,1),IFERROR(DATEVALUE(TEXT(Assumptions!B59,"MM/DD/YYYY")),0)&lt;=DATE(2030,12,31)),-(Assumptions!G59+(Assumptions!G59*Assumptions!F59)),0)</f>
        <v/>
      </c>
      <c r="BB27" s="156">
        <f>IF(AND(Assumptions!B59&lt;&gt;"",IFERROR(DATEVALUE(TEXT(Assumptions!B59,"MM/DD/YYYY")),0)&gt;=DATE(2031,1,1),IFERROR(DATEVALUE(TEXT(Assumptions!B59,"MM/DD/YYYY")),0)&lt;=DATE(2031,1,31)),-(Assumptions!G59+(Assumptions!G59*Assumptions!F59)),0)</f>
        <v/>
      </c>
      <c r="BC27" s="156">
        <f>IF(AND(Assumptions!B59&lt;&gt;"",IFERROR(DATEVALUE(TEXT(Assumptions!B59,"MM/DD/YYYY")),0)&gt;=DATE(2031,2,1),IFERROR(DATEVALUE(TEXT(Assumptions!B59,"MM/DD/YYYY")),0)&lt;=DATE(2031,2,28)),-(Assumptions!G59+(Assumptions!G59*Assumptions!F59)),0)</f>
        <v/>
      </c>
      <c r="BD27" s="156">
        <f>IF(AND(Assumptions!B59&lt;&gt;"",IFERROR(DATEVALUE(TEXT(Assumptions!B59,"MM/DD/YYYY")),0)&gt;=DATE(2031,3,1),IFERROR(DATEVALUE(TEXT(Assumptions!B59,"MM/DD/YYYY")),0)&lt;=DATE(2031,3,31)),-(Assumptions!G59+(Assumptions!G59*Assumptions!F59)),0)</f>
        <v/>
      </c>
      <c r="BE27" s="156">
        <f>IF(AND(Assumptions!B59&lt;&gt;"",IFERROR(DATEVALUE(TEXT(Assumptions!B59,"MM/DD/YYYY")),0)&gt;=DATE(2031,4,1),IFERROR(DATEVALUE(TEXT(Assumptions!B59,"MM/DD/YYYY")),0)&lt;=DATE(2031,4,30)),-(Assumptions!G59+(Assumptions!G59*Assumptions!F59)),0)</f>
        <v/>
      </c>
      <c r="BF27" s="156">
        <f>IF(AND(Assumptions!B59&lt;&gt;"",IFERROR(DATEVALUE(TEXT(Assumptions!B59,"MM/DD/YYYY")),0)&gt;=DATE(2031,5,1),IFERROR(DATEVALUE(TEXT(Assumptions!B59,"MM/DD/YYYY")),0)&lt;=DATE(2031,5,31)),-(Assumptions!G59+(Assumptions!G59*Assumptions!F59)),0)</f>
        <v/>
      </c>
      <c r="BG27" s="156">
        <f>IF(AND(Assumptions!B59&lt;&gt;"",IFERROR(DATEVALUE(TEXT(Assumptions!B59,"MM/DD/YYYY")),0)&gt;=DATE(2031,6,1),IFERROR(DATEVALUE(TEXT(Assumptions!B59,"MM/DD/YYYY")),0)&lt;=DATE(2031,6,30)),-(Assumptions!G59+(Assumptions!G59*Assumptions!F59)),0)</f>
        <v/>
      </c>
      <c r="BH27" s="156">
        <f>IF(AND(Assumptions!B59&lt;&gt;"",IFERROR(DATEVALUE(TEXT(Assumptions!B59,"MM/DD/YYYY")),0)&gt;=DATE(2031,7,1),IFERROR(DATEVALUE(TEXT(Assumptions!B59,"MM/DD/YYYY")),0)&lt;=DATE(2031,7,31)),-(Assumptions!G59+(Assumptions!G59*Assumptions!F59)),0)</f>
        <v/>
      </c>
      <c r="BI27" s="156">
        <f>IF(AND(Assumptions!B59&lt;&gt;"",IFERROR(DATEVALUE(TEXT(Assumptions!B59,"MM/DD/YYYY")),0)&gt;=DATE(2031,8,1),IFERROR(DATEVALUE(TEXT(Assumptions!B59,"MM/DD/YYYY")),0)&lt;=DATE(2031,8,31)),-(Assumptions!G59+(Assumptions!G59*Assumptions!F59)),0)</f>
        <v/>
      </c>
      <c r="BJ27" s="156">
        <f>IF(AND(Assumptions!B59&lt;&gt;"",IFERROR(DATEVALUE(TEXT(Assumptions!B59,"MM/DD/YYYY")),0)&gt;=DATE(2031,9,1),IFERROR(DATEVALUE(TEXT(Assumptions!B59,"MM/DD/YYYY")),0)&lt;=DATE(2031,9,30)),-(Assumptions!G59+(Assumptions!G59*Assumptions!F59)),0)</f>
        <v/>
      </c>
      <c r="BL27" s="157">
        <f>C27+D27+E27+F27+G27+H27+I27+J27+K27+L27+M27+N27</f>
        <v/>
      </c>
      <c r="BM27" s="157">
        <f>O27+P27+Q27+R27+S27+T27+U27+V27+W27+X27+Y27+Z27</f>
        <v/>
      </c>
      <c r="BN27" s="157">
        <f>AA27+AB27+AC27+AD27+AE27+AF27+AG27+AH27+AI27+AJ27+AK27+AL27</f>
        <v/>
      </c>
      <c r="BO27" s="157">
        <f>AM27+AN27+AO27+AP27+AQ27+AR27+AS27+AT27+AU27+AV27+AW27+AX27</f>
        <v/>
      </c>
      <c r="BP27" s="157">
        <f>AY27+AZ27+BA27+BB27+BC27+BD27+BE27+BF27+BG27+BH27+BI27+BJ27</f>
        <v/>
      </c>
    </row>
    <row r="28" ht="15" customHeight="1" s="104">
      <c r="A28" s="107" t="inlineStr">
        <is>
          <t xml:space="preserve">    Add-On 10 Acquisition (TEV + Transaction Fees)</t>
        </is>
      </c>
      <c r="C28" s="156">
        <f>IF(AND(Assumptions!B60&lt;&gt;"",IFERROR(DATEVALUE(TEXT(Assumptions!B60,"MM/DD/YYYY")),0)&gt;=DATE(2026,10,1),IFERROR(DATEVALUE(TEXT(Assumptions!B60,"MM/DD/YYYY")),0)&lt;=DATE(2026,10,31)),-(Assumptions!G60+(Assumptions!G60*Assumptions!F60)),0)</f>
        <v/>
      </c>
      <c r="D28" s="156">
        <f>IF(AND(Assumptions!B60&lt;&gt;"",IFERROR(DATEVALUE(TEXT(Assumptions!B60,"MM/DD/YYYY")),0)&gt;=DATE(2026,11,1),IFERROR(DATEVALUE(TEXT(Assumptions!B60,"MM/DD/YYYY")),0)&lt;=DATE(2026,11,30)),-(Assumptions!G60+(Assumptions!G60*Assumptions!F60)),0)</f>
        <v/>
      </c>
      <c r="E28" s="156">
        <f>IF(AND(Assumptions!B60&lt;&gt;"",IFERROR(DATEVALUE(TEXT(Assumptions!B60,"MM/DD/YYYY")),0)&gt;=DATE(2026,12,1),IFERROR(DATEVALUE(TEXT(Assumptions!B60,"MM/DD/YYYY")),0)&lt;=DATE(2026,12,31)),-(Assumptions!G60+(Assumptions!G60*Assumptions!F60)),0)</f>
        <v/>
      </c>
      <c r="F28" s="156">
        <f>IF(AND(Assumptions!B60&lt;&gt;"",IFERROR(DATEVALUE(TEXT(Assumptions!B60,"MM/DD/YYYY")),0)&gt;=DATE(2027,1,1),IFERROR(DATEVALUE(TEXT(Assumptions!B60,"MM/DD/YYYY")),0)&lt;=DATE(2027,1,31)),-(Assumptions!G60+(Assumptions!G60*Assumptions!F60)),0)</f>
        <v/>
      </c>
      <c r="G28" s="156">
        <f>IF(AND(Assumptions!B60&lt;&gt;"",IFERROR(DATEVALUE(TEXT(Assumptions!B60,"MM/DD/YYYY")),0)&gt;=DATE(2027,2,1),IFERROR(DATEVALUE(TEXT(Assumptions!B60,"MM/DD/YYYY")),0)&lt;=DATE(2027,2,28)),-(Assumptions!G60+(Assumptions!G60*Assumptions!F60)),0)</f>
        <v/>
      </c>
      <c r="H28" s="156">
        <f>IF(AND(Assumptions!B60&lt;&gt;"",IFERROR(DATEVALUE(TEXT(Assumptions!B60,"MM/DD/YYYY")),0)&gt;=DATE(2027,3,1),IFERROR(DATEVALUE(TEXT(Assumptions!B60,"MM/DD/YYYY")),0)&lt;=DATE(2027,3,31)),-(Assumptions!G60+(Assumptions!G60*Assumptions!F60)),0)</f>
        <v/>
      </c>
      <c r="I28" s="156">
        <f>IF(AND(Assumptions!B60&lt;&gt;"",IFERROR(DATEVALUE(TEXT(Assumptions!B60,"MM/DD/YYYY")),0)&gt;=DATE(2027,4,1),IFERROR(DATEVALUE(TEXT(Assumptions!B60,"MM/DD/YYYY")),0)&lt;=DATE(2027,4,30)),-(Assumptions!G60+(Assumptions!G60*Assumptions!F60)),0)</f>
        <v/>
      </c>
      <c r="J28" s="156">
        <f>IF(AND(Assumptions!B60&lt;&gt;"",IFERROR(DATEVALUE(TEXT(Assumptions!B60,"MM/DD/YYYY")),0)&gt;=DATE(2027,5,1),IFERROR(DATEVALUE(TEXT(Assumptions!B60,"MM/DD/YYYY")),0)&lt;=DATE(2027,5,31)),-(Assumptions!G60+(Assumptions!G60*Assumptions!F60)),0)</f>
        <v/>
      </c>
      <c r="K28" s="156">
        <f>IF(AND(Assumptions!B60&lt;&gt;"",IFERROR(DATEVALUE(TEXT(Assumptions!B60,"MM/DD/YYYY")),0)&gt;=DATE(2027,6,1),IFERROR(DATEVALUE(TEXT(Assumptions!B60,"MM/DD/YYYY")),0)&lt;=DATE(2027,6,30)),-(Assumptions!G60+(Assumptions!G60*Assumptions!F60)),0)</f>
        <v/>
      </c>
      <c r="L28" s="156">
        <f>IF(AND(Assumptions!B60&lt;&gt;"",IFERROR(DATEVALUE(TEXT(Assumptions!B60,"MM/DD/YYYY")),0)&gt;=DATE(2027,7,1),IFERROR(DATEVALUE(TEXT(Assumptions!B60,"MM/DD/YYYY")),0)&lt;=DATE(2027,7,31)),-(Assumptions!G60+(Assumptions!G60*Assumptions!F60)),0)</f>
        <v/>
      </c>
      <c r="M28" s="156">
        <f>IF(AND(Assumptions!B60&lt;&gt;"",IFERROR(DATEVALUE(TEXT(Assumptions!B60,"MM/DD/YYYY")),0)&gt;=DATE(2027,8,1),IFERROR(DATEVALUE(TEXT(Assumptions!B60,"MM/DD/YYYY")),0)&lt;=DATE(2027,8,31)),-(Assumptions!G60+(Assumptions!G60*Assumptions!F60)),0)</f>
        <v/>
      </c>
      <c r="N28" s="156">
        <f>IF(AND(Assumptions!B60&lt;&gt;"",IFERROR(DATEVALUE(TEXT(Assumptions!B60,"MM/DD/YYYY")),0)&gt;=DATE(2027,9,1),IFERROR(DATEVALUE(TEXT(Assumptions!B60,"MM/DD/YYYY")),0)&lt;=DATE(2027,9,30)),-(Assumptions!G60+(Assumptions!G60*Assumptions!F60)),0)</f>
        <v/>
      </c>
      <c r="O28" s="156">
        <f>IF(AND(Assumptions!B60&lt;&gt;"",IFERROR(DATEVALUE(TEXT(Assumptions!B60,"MM/DD/YYYY")),0)&gt;=DATE(2027,10,1),IFERROR(DATEVALUE(TEXT(Assumptions!B60,"MM/DD/YYYY")),0)&lt;=DATE(2027,10,31)),-(Assumptions!G60+(Assumptions!G60*Assumptions!F60)),0)</f>
        <v/>
      </c>
      <c r="P28" s="156">
        <f>IF(AND(Assumptions!B60&lt;&gt;"",IFERROR(DATEVALUE(TEXT(Assumptions!B60,"MM/DD/YYYY")),0)&gt;=DATE(2027,11,1),IFERROR(DATEVALUE(TEXT(Assumptions!B60,"MM/DD/YYYY")),0)&lt;=DATE(2027,11,30)),-(Assumptions!G60+(Assumptions!G60*Assumptions!F60)),0)</f>
        <v/>
      </c>
      <c r="Q28" s="156">
        <f>IF(AND(Assumptions!B60&lt;&gt;"",IFERROR(DATEVALUE(TEXT(Assumptions!B60,"MM/DD/YYYY")),0)&gt;=DATE(2027,12,1),IFERROR(DATEVALUE(TEXT(Assumptions!B60,"MM/DD/YYYY")),0)&lt;=DATE(2027,12,31)),-(Assumptions!G60+(Assumptions!G60*Assumptions!F60)),0)</f>
        <v/>
      </c>
      <c r="R28" s="156">
        <f>IF(AND(Assumptions!B60&lt;&gt;"",IFERROR(DATEVALUE(TEXT(Assumptions!B60,"MM/DD/YYYY")),0)&gt;=DATE(2028,1,1),IFERROR(DATEVALUE(TEXT(Assumptions!B60,"MM/DD/YYYY")),0)&lt;=DATE(2028,1,31)),-(Assumptions!G60+(Assumptions!G60*Assumptions!F60)),0)</f>
        <v/>
      </c>
      <c r="S28" s="156">
        <f>IF(AND(Assumptions!B60&lt;&gt;"",IFERROR(DATEVALUE(TEXT(Assumptions!B60,"MM/DD/YYYY")),0)&gt;=DATE(2028,2,1),IFERROR(DATEVALUE(TEXT(Assumptions!B60,"MM/DD/YYYY")),0)&lt;=DATE(2028,2,29)),-(Assumptions!G60+(Assumptions!G60*Assumptions!F60)),0)</f>
        <v/>
      </c>
      <c r="T28" s="156">
        <f>IF(AND(Assumptions!B60&lt;&gt;"",IFERROR(DATEVALUE(TEXT(Assumptions!B60,"MM/DD/YYYY")),0)&gt;=DATE(2028,3,1),IFERROR(DATEVALUE(TEXT(Assumptions!B60,"MM/DD/YYYY")),0)&lt;=DATE(2028,3,31)),-(Assumptions!G60+(Assumptions!G60*Assumptions!F60)),0)</f>
        <v/>
      </c>
      <c r="U28" s="156">
        <f>IF(AND(Assumptions!B60&lt;&gt;"",IFERROR(DATEVALUE(TEXT(Assumptions!B60,"MM/DD/YYYY")),0)&gt;=DATE(2028,4,1),IFERROR(DATEVALUE(TEXT(Assumptions!B60,"MM/DD/YYYY")),0)&lt;=DATE(2028,4,30)),-(Assumptions!G60+(Assumptions!G60*Assumptions!F60)),0)</f>
        <v/>
      </c>
      <c r="V28" s="156">
        <f>IF(AND(Assumptions!B60&lt;&gt;"",IFERROR(DATEVALUE(TEXT(Assumptions!B60,"MM/DD/YYYY")),0)&gt;=DATE(2028,5,1),IFERROR(DATEVALUE(TEXT(Assumptions!B60,"MM/DD/YYYY")),0)&lt;=DATE(2028,5,31)),-(Assumptions!G60+(Assumptions!G60*Assumptions!F60)),0)</f>
        <v/>
      </c>
      <c r="W28" s="156">
        <f>IF(AND(Assumptions!B60&lt;&gt;"",IFERROR(DATEVALUE(TEXT(Assumptions!B60,"MM/DD/YYYY")),0)&gt;=DATE(2028,6,1),IFERROR(DATEVALUE(TEXT(Assumptions!B60,"MM/DD/YYYY")),0)&lt;=DATE(2028,6,30)),-(Assumptions!G60+(Assumptions!G60*Assumptions!F60)),0)</f>
        <v/>
      </c>
      <c r="X28" s="156">
        <f>IF(AND(Assumptions!B60&lt;&gt;"",IFERROR(DATEVALUE(TEXT(Assumptions!B60,"MM/DD/YYYY")),0)&gt;=DATE(2028,7,1),IFERROR(DATEVALUE(TEXT(Assumptions!B60,"MM/DD/YYYY")),0)&lt;=DATE(2028,7,31)),-(Assumptions!G60+(Assumptions!G60*Assumptions!F60)),0)</f>
        <v/>
      </c>
      <c r="Y28" s="156">
        <f>IF(AND(Assumptions!B60&lt;&gt;"",IFERROR(DATEVALUE(TEXT(Assumptions!B60,"MM/DD/YYYY")),0)&gt;=DATE(2028,8,1),IFERROR(DATEVALUE(TEXT(Assumptions!B60,"MM/DD/YYYY")),0)&lt;=DATE(2028,8,31)),-(Assumptions!G60+(Assumptions!G60*Assumptions!F60)),0)</f>
        <v/>
      </c>
      <c r="Z28" s="156">
        <f>IF(AND(Assumptions!B60&lt;&gt;"",IFERROR(DATEVALUE(TEXT(Assumptions!B60,"MM/DD/YYYY")),0)&gt;=DATE(2028,9,1),IFERROR(DATEVALUE(TEXT(Assumptions!B60,"MM/DD/YYYY")),0)&lt;=DATE(2028,9,30)),-(Assumptions!G60+(Assumptions!G60*Assumptions!F60)),0)</f>
        <v/>
      </c>
      <c r="AA28" s="156">
        <f>IF(AND(Assumptions!B60&lt;&gt;"",IFERROR(DATEVALUE(TEXT(Assumptions!B60,"MM/DD/YYYY")),0)&gt;=DATE(2028,10,1),IFERROR(DATEVALUE(TEXT(Assumptions!B60,"MM/DD/YYYY")),0)&lt;=DATE(2028,10,31)),-(Assumptions!G60+(Assumptions!G60*Assumptions!F60)),0)</f>
        <v/>
      </c>
      <c r="AB28" s="156">
        <f>IF(AND(Assumptions!B60&lt;&gt;"",IFERROR(DATEVALUE(TEXT(Assumptions!B60,"MM/DD/YYYY")),0)&gt;=DATE(2028,11,1),IFERROR(DATEVALUE(TEXT(Assumptions!B60,"MM/DD/YYYY")),0)&lt;=DATE(2028,11,30)),-(Assumptions!G60+(Assumptions!G60*Assumptions!F60)),0)</f>
        <v/>
      </c>
      <c r="AC28" s="156">
        <f>IF(AND(Assumptions!B60&lt;&gt;"",IFERROR(DATEVALUE(TEXT(Assumptions!B60,"MM/DD/YYYY")),0)&gt;=DATE(2028,12,1),IFERROR(DATEVALUE(TEXT(Assumptions!B60,"MM/DD/YYYY")),0)&lt;=DATE(2028,12,31)),-(Assumptions!G60+(Assumptions!G60*Assumptions!F60)),0)</f>
        <v/>
      </c>
      <c r="AD28" s="156">
        <f>IF(AND(Assumptions!B60&lt;&gt;"",IFERROR(DATEVALUE(TEXT(Assumptions!B60,"MM/DD/YYYY")),0)&gt;=DATE(2029,1,1),IFERROR(DATEVALUE(TEXT(Assumptions!B60,"MM/DD/YYYY")),0)&lt;=DATE(2029,1,31)),-(Assumptions!G60+(Assumptions!G60*Assumptions!F60)),0)</f>
        <v/>
      </c>
      <c r="AE28" s="156">
        <f>IF(AND(Assumptions!B60&lt;&gt;"",IFERROR(DATEVALUE(TEXT(Assumptions!B60,"MM/DD/YYYY")),0)&gt;=DATE(2029,2,1),IFERROR(DATEVALUE(TEXT(Assumptions!B60,"MM/DD/YYYY")),0)&lt;=DATE(2029,2,28)),-(Assumptions!G60+(Assumptions!G60*Assumptions!F60)),0)</f>
        <v/>
      </c>
      <c r="AF28" s="156">
        <f>IF(AND(Assumptions!B60&lt;&gt;"",IFERROR(DATEVALUE(TEXT(Assumptions!B60,"MM/DD/YYYY")),0)&gt;=DATE(2029,3,1),IFERROR(DATEVALUE(TEXT(Assumptions!B60,"MM/DD/YYYY")),0)&lt;=DATE(2029,3,31)),-(Assumptions!G60+(Assumptions!G60*Assumptions!F60)),0)</f>
        <v/>
      </c>
      <c r="AG28" s="156">
        <f>IF(AND(Assumptions!B60&lt;&gt;"",IFERROR(DATEVALUE(TEXT(Assumptions!B60,"MM/DD/YYYY")),0)&gt;=DATE(2029,4,1),IFERROR(DATEVALUE(TEXT(Assumptions!B60,"MM/DD/YYYY")),0)&lt;=DATE(2029,4,30)),-(Assumptions!G60+(Assumptions!G60*Assumptions!F60)),0)</f>
        <v/>
      </c>
      <c r="AH28" s="156">
        <f>IF(AND(Assumptions!B60&lt;&gt;"",IFERROR(DATEVALUE(TEXT(Assumptions!B60,"MM/DD/YYYY")),0)&gt;=DATE(2029,5,1),IFERROR(DATEVALUE(TEXT(Assumptions!B60,"MM/DD/YYYY")),0)&lt;=DATE(2029,5,31)),-(Assumptions!G60+(Assumptions!G60*Assumptions!F60)),0)</f>
        <v/>
      </c>
      <c r="AI28" s="156">
        <f>IF(AND(Assumptions!B60&lt;&gt;"",IFERROR(DATEVALUE(TEXT(Assumptions!B60,"MM/DD/YYYY")),0)&gt;=DATE(2029,6,1),IFERROR(DATEVALUE(TEXT(Assumptions!B60,"MM/DD/YYYY")),0)&lt;=DATE(2029,6,30)),-(Assumptions!G60+(Assumptions!G60*Assumptions!F60)),0)</f>
        <v/>
      </c>
      <c r="AJ28" s="156">
        <f>IF(AND(Assumptions!B60&lt;&gt;"",IFERROR(DATEVALUE(TEXT(Assumptions!B60,"MM/DD/YYYY")),0)&gt;=DATE(2029,7,1),IFERROR(DATEVALUE(TEXT(Assumptions!B60,"MM/DD/YYYY")),0)&lt;=DATE(2029,7,31)),-(Assumptions!G60+(Assumptions!G60*Assumptions!F60)),0)</f>
        <v/>
      </c>
      <c r="AK28" s="156">
        <f>IF(AND(Assumptions!B60&lt;&gt;"",IFERROR(DATEVALUE(TEXT(Assumptions!B60,"MM/DD/YYYY")),0)&gt;=DATE(2029,8,1),IFERROR(DATEVALUE(TEXT(Assumptions!B60,"MM/DD/YYYY")),0)&lt;=DATE(2029,8,31)),-(Assumptions!G60+(Assumptions!G60*Assumptions!F60)),0)</f>
        <v/>
      </c>
      <c r="AL28" s="156">
        <f>IF(AND(Assumptions!B60&lt;&gt;"",IFERROR(DATEVALUE(TEXT(Assumptions!B60,"MM/DD/YYYY")),0)&gt;=DATE(2029,9,1),IFERROR(DATEVALUE(TEXT(Assumptions!B60,"MM/DD/YYYY")),0)&lt;=DATE(2029,9,30)),-(Assumptions!G60+(Assumptions!G60*Assumptions!F60)),0)</f>
        <v/>
      </c>
      <c r="AM28" s="156">
        <f>IF(AND(Assumptions!B60&lt;&gt;"",IFERROR(DATEVALUE(TEXT(Assumptions!B60,"MM/DD/YYYY")),0)&gt;=DATE(2029,10,1),IFERROR(DATEVALUE(TEXT(Assumptions!B60,"MM/DD/YYYY")),0)&lt;=DATE(2029,10,31)),-(Assumptions!G60+(Assumptions!G60*Assumptions!F60)),0)</f>
        <v/>
      </c>
      <c r="AN28" s="156">
        <f>IF(AND(Assumptions!B60&lt;&gt;"",IFERROR(DATEVALUE(TEXT(Assumptions!B60,"MM/DD/YYYY")),0)&gt;=DATE(2029,11,1),IFERROR(DATEVALUE(TEXT(Assumptions!B60,"MM/DD/YYYY")),0)&lt;=DATE(2029,11,30)),-(Assumptions!G60+(Assumptions!G60*Assumptions!F60)),0)</f>
        <v/>
      </c>
      <c r="AO28" s="156">
        <f>IF(AND(Assumptions!B60&lt;&gt;"",IFERROR(DATEVALUE(TEXT(Assumptions!B60,"MM/DD/YYYY")),0)&gt;=DATE(2029,12,1),IFERROR(DATEVALUE(TEXT(Assumptions!B60,"MM/DD/YYYY")),0)&lt;=DATE(2029,12,31)),-(Assumptions!G60+(Assumptions!G60*Assumptions!F60)),0)</f>
        <v/>
      </c>
      <c r="AP28" s="156">
        <f>IF(AND(Assumptions!B60&lt;&gt;"",IFERROR(DATEVALUE(TEXT(Assumptions!B60,"MM/DD/YYYY")),0)&gt;=DATE(2030,1,1),IFERROR(DATEVALUE(TEXT(Assumptions!B60,"MM/DD/YYYY")),0)&lt;=DATE(2030,1,31)),-(Assumptions!G60+(Assumptions!G60*Assumptions!F60)),0)</f>
        <v/>
      </c>
      <c r="AQ28" s="156">
        <f>IF(AND(Assumptions!B60&lt;&gt;"",IFERROR(DATEVALUE(TEXT(Assumptions!B60,"MM/DD/YYYY")),0)&gt;=DATE(2030,2,1),IFERROR(DATEVALUE(TEXT(Assumptions!B60,"MM/DD/YYYY")),0)&lt;=DATE(2030,2,28)),-(Assumptions!G60+(Assumptions!G60*Assumptions!F60)),0)</f>
        <v/>
      </c>
      <c r="AR28" s="156">
        <f>IF(AND(Assumptions!B60&lt;&gt;"",IFERROR(DATEVALUE(TEXT(Assumptions!B60,"MM/DD/YYYY")),0)&gt;=DATE(2030,3,1),IFERROR(DATEVALUE(TEXT(Assumptions!B60,"MM/DD/YYYY")),0)&lt;=DATE(2030,3,31)),-(Assumptions!G60+(Assumptions!G60*Assumptions!F60)),0)</f>
        <v/>
      </c>
      <c r="AS28" s="156">
        <f>IF(AND(Assumptions!B60&lt;&gt;"",IFERROR(DATEVALUE(TEXT(Assumptions!B60,"MM/DD/YYYY")),0)&gt;=DATE(2030,4,1),IFERROR(DATEVALUE(TEXT(Assumptions!B60,"MM/DD/YYYY")),0)&lt;=DATE(2030,4,30)),-(Assumptions!G60+(Assumptions!G60*Assumptions!F60)),0)</f>
        <v/>
      </c>
      <c r="AT28" s="156">
        <f>IF(AND(Assumptions!B60&lt;&gt;"",IFERROR(DATEVALUE(TEXT(Assumptions!B60,"MM/DD/YYYY")),0)&gt;=DATE(2030,5,1),IFERROR(DATEVALUE(TEXT(Assumptions!B60,"MM/DD/YYYY")),0)&lt;=DATE(2030,5,31)),-(Assumptions!G60+(Assumptions!G60*Assumptions!F60)),0)</f>
        <v/>
      </c>
      <c r="AU28" s="156">
        <f>IF(AND(Assumptions!B60&lt;&gt;"",IFERROR(DATEVALUE(TEXT(Assumptions!B60,"MM/DD/YYYY")),0)&gt;=DATE(2030,6,1),IFERROR(DATEVALUE(TEXT(Assumptions!B60,"MM/DD/YYYY")),0)&lt;=DATE(2030,6,30)),-(Assumptions!G60+(Assumptions!G60*Assumptions!F60)),0)</f>
        <v/>
      </c>
      <c r="AV28" s="156">
        <f>IF(AND(Assumptions!B60&lt;&gt;"",IFERROR(DATEVALUE(TEXT(Assumptions!B60,"MM/DD/YYYY")),0)&gt;=DATE(2030,7,1),IFERROR(DATEVALUE(TEXT(Assumptions!B60,"MM/DD/YYYY")),0)&lt;=DATE(2030,7,31)),-(Assumptions!G60+(Assumptions!G60*Assumptions!F60)),0)</f>
        <v/>
      </c>
      <c r="AW28" s="156">
        <f>IF(AND(Assumptions!B60&lt;&gt;"",IFERROR(DATEVALUE(TEXT(Assumptions!B60,"MM/DD/YYYY")),0)&gt;=DATE(2030,8,1),IFERROR(DATEVALUE(TEXT(Assumptions!B60,"MM/DD/YYYY")),0)&lt;=DATE(2030,8,31)),-(Assumptions!G60+(Assumptions!G60*Assumptions!F60)),0)</f>
        <v/>
      </c>
      <c r="AX28" s="156">
        <f>IF(AND(Assumptions!B60&lt;&gt;"",IFERROR(DATEVALUE(TEXT(Assumptions!B60,"MM/DD/YYYY")),0)&gt;=DATE(2030,9,1),IFERROR(DATEVALUE(TEXT(Assumptions!B60,"MM/DD/YYYY")),0)&lt;=DATE(2030,9,30)),-(Assumptions!G60+(Assumptions!G60*Assumptions!F60)),0)</f>
        <v/>
      </c>
      <c r="AY28" s="156">
        <f>IF(AND(Assumptions!B60&lt;&gt;"",IFERROR(DATEVALUE(TEXT(Assumptions!B60,"MM/DD/YYYY")),0)&gt;=DATE(2030,10,1),IFERROR(DATEVALUE(TEXT(Assumptions!B60,"MM/DD/YYYY")),0)&lt;=DATE(2030,10,31)),-(Assumptions!G60+(Assumptions!G60*Assumptions!F60)),0)</f>
        <v/>
      </c>
      <c r="AZ28" s="156">
        <f>IF(AND(Assumptions!B60&lt;&gt;"",IFERROR(DATEVALUE(TEXT(Assumptions!B60,"MM/DD/YYYY")),0)&gt;=DATE(2030,11,1),IFERROR(DATEVALUE(TEXT(Assumptions!B60,"MM/DD/YYYY")),0)&lt;=DATE(2030,11,30)),-(Assumptions!G60+(Assumptions!G60*Assumptions!F60)),0)</f>
        <v/>
      </c>
      <c r="BA28" s="156">
        <f>IF(AND(Assumptions!B60&lt;&gt;"",IFERROR(DATEVALUE(TEXT(Assumptions!B60,"MM/DD/YYYY")),0)&gt;=DATE(2030,12,1),IFERROR(DATEVALUE(TEXT(Assumptions!B60,"MM/DD/YYYY")),0)&lt;=DATE(2030,12,31)),-(Assumptions!G60+(Assumptions!G60*Assumptions!F60)),0)</f>
        <v/>
      </c>
      <c r="BB28" s="156">
        <f>IF(AND(Assumptions!B60&lt;&gt;"",IFERROR(DATEVALUE(TEXT(Assumptions!B60,"MM/DD/YYYY")),0)&gt;=DATE(2031,1,1),IFERROR(DATEVALUE(TEXT(Assumptions!B60,"MM/DD/YYYY")),0)&lt;=DATE(2031,1,31)),-(Assumptions!G60+(Assumptions!G60*Assumptions!F60)),0)</f>
        <v/>
      </c>
      <c r="BC28" s="156">
        <f>IF(AND(Assumptions!B60&lt;&gt;"",IFERROR(DATEVALUE(TEXT(Assumptions!B60,"MM/DD/YYYY")),0)&gt;=DATE(2031,2,1),IFERROR(DATEVALUE(TEXT(Assumptions!B60,"MM/DD/YYYY")),0)&lt;=DATE(2031,2,28)),-(Assumptions!G60+(Assumptions!G60*Assumptions!F60)),0)</f>
        <v/>
      </c>
      <c r="BD28" s="156">
        <f>IF(AND(Assumptions!B60&lt;&gt;"",IFERROR(DATEVALUE(TEXT(Assumptions!B60,"MM/DD/YYYY")),0)&gt;=DATE(2031,3,1),IFERROR(DATEVALUE(TEXT(Assumptions!B60,"MM/DD/YYYY")),0)&lt;=DATE(2031,3,31)),-(Assumptions!G60+(Assumptions!G60*Assumptions!F60)),0)</f>
        <v/>
      </c>
      <c r="BE28" s="156">
        <f>IF(AND(Assumptions!B60&lt;&gt;"",IFERROR(DATEVALUE(TEXT(Assumptions!B60,"MM/DD/YYYY")),0)&gt;=DATE(2031,4,1),IFERROR(DATEVALUE(TEXT(Assumptions!B60,"MM/DD/YYYY")),0)&lt;=DATE(2031,4,30)),-(Assumptions!G60+(Assumptions!G60*Assumptions!F60)),0)</f>
        <v/>
      </c>
      <c r="BF28" s="156">
        <f>IF(AND(Assumptions!B60&lt;&gt;"",IFERROR(DATEVALUE(TEXT(Assumptions!B60,"MM/DD/YYYY")),0)&gt;=DATE(2031,5,1),IFERROR(DATEVALUE(TEXT(Assumptions!B60,"MM/DD/YYYY")),0)&lt;=DATE(2031,5,31)),-(Assumptions!G60+(Assumptions!G60*Assumptions!F60)),0)</f>
        <v/>
      </c>
      <c r="BG28" s="156">
        <f>IF(AND(Assumptions!B60&lt;&gt;"",IFERROR(DATEVALUE(TEXT(Assumptions!B60,"MM/DD/YYYY")),0)&gt;=DATE(2031,6,1),IFERROR(DATEVALUE(TEXT(Assumptions!B60,"MM/DD/YYYY")),0)&lt;=DATE(2031,6,30)),-(Assumptions!G60+(Assumptions!G60*Assumptions!F60)),0)</f>
        <v/>
      </c>
      <c r="BH28" s="156">
        <f>IF(AND(Assumptions!B60&lt;&gt;"",IFERROR(DATEVALUE(TEXT(Assumptions!B60,"MM/DD/YYYY")),0)&gt;=DATE(2031,7,1),IFERROR(DATEVALUE(TEXT(Assumptions!B60,"MM/DD/YYYY")),0)&lt;=DATE(2031,7,31)),-(Assumptions!G60+(Assumptions!G60*Assumptions!F60)),0)</f>
        <v/>
      </c>
      <c r="BI28" s="156">
        <f>IF(AND(Assumptions!B60&lt;&gt;"",IFERROR(DATEVALUE(TEXT(Assumptions!B60,"MM/DD/YYYY")),0)&gt;=DATE(2031,8,1),IFERROR(DATEVALUE(TEXT(Assumptions!B60,"MM/DD/YYYY")),0)&lt;=DATE(2031,8,31)),-(Assumptions!G60+(Assumptions!G60*Assumptions!F60)),0)</f>
        <v/>
      </c>
      <c r="BJ28" s="156">
        <f>IF(AND(Assumptions!B60&lt;&gt;"",IFERROR(DATEVALUE(TEXT(Assumptions!B60,"MM/DD/YYYY")),0)&gt;=DATE(2031,9,1),IFERROR(DATEVALUE(TEXT(Assumptions!B60,"MM/DD/YYYY")),0)&lt;=DATE(2031,9,30)),-(Assumptions!G60+(Assumptions!G60*Assumptions!F60)),0)</f>
        <v/>
      </c>
      <c r="BL28" s="157">
        <f>C28+D28+E28+F28+G28+H28+I28+J28+K28+L28+M28+N28</f>
        <v/>
      </c>
      <c r="BM28" s="157">
        <f>O28+P28+Q28+R28+S28+T28+U28+V28+W28+X28+Y28+Z28</f>
        <v/>
      </c>
      <c r="BN28" s="157">
        <f>AA28+AB28+AC28+AD28+AE28+AF28+AG28+AH28+AI28+AJ28+AK28+AL28</f>
        <v/>
      </c>
      <c r="BO28" s="157">
        <f>AM28+AN28+AO28+AP28+AQ28+AR28+AS28+AT28+AU28+AV28+AW28+AX28</f>
        <v/>
      </c>
      <c r="BP28" s="157">
        <f>AY28+AZ28+BA28+BB28+BC28+BD28+BE28+BF28+BG28+BH28+BI28+BJ28</f>
        <v/>
      </c>
    </row>
    <row r="29" ht="15" customHeight="1" s="104">
      <c r="A29" s="184" t="inlineStr">
        <is>
          <t xml:space="preserve">      Platform – Acquired Net Working Capital</t>
        </is>
      </c>
      <c r="C29" s="156" t="n">
        <v>0</v>
      </c>
      <c r="D29" s="156" t="n">
        <v>0</v>
      </c>
      <c r="E29" s="156" t="n">
        <v>0</v>
      </c>
      <c r="F29" s="156" t="n">
        <v>0</v>
      </c>
      <c r="G29" s="156" t="n">
        <v>0</v>
      </c>
      <c r="H29" s="156" t="n">
        <v>0</v>
      </c>
      <c r="I29" s="156" t="n">
        <v>0</v>
      </c>
      <c r="J29" s="156" t="n">
        <v>0</v>
      </c>
      <c r="K29" s="156" t="n">
        <v>0</v>
      </c>
      <c r="L29" s="156" t="n">
        <v>0</v>
      </c>
      <c r="M29" s="156" t="n">
        <v>0</v>
      </c>
      <c r="N29" s="156" t="n">
        <v>0</v>
      </c>
      <c r="O29" s="156" t="n">
        <v>0</v>
      </c>
      <c r="P29" s="156" t="n">
        <v>0</v>
      </c>
      <c r="Q29" s="156" t="n">
        <v>0</v>
      </c>
      <c r="R29" s="156" t="n">
        <v>0</v>
      </c>
      <c r="S29" s="156" t="n">
        <v>0</v>
      </c>
      <c r="T29" s="156" t="n">
        <v>0</v>
      </c>
      <c r="U29" s="156" t="n">
        <v>0</v>
      </c>
      <c r="V29" s="156" t="n">
        <v>0</v>
      </c>
      <c r="W29" s="156" t="n">
        <v>0</v>
      </c>
      <c r="X29" s="156" t="n">
        <v>0</v>
      </c>
      <c r="Y29" s="156" t="n">
        <v>0</v>
      </c>
      <c r="Z29" s="156" t="n">
        <v>0</v>
      </c>
      <c r="AA29" s="156" t="n">
        <v>0</v>
      </c>
      <c r="AB29" s="156" t="n">
        <v>0</v>
      </c>
      <c r="AC29" s="156" t="n">
        <v>0</v>
      </c>
      <c r="AD29" s="156" t="n">
        <v>0</v>
      </c>
      <c r="AE29" s="156" t="n">
        <v>0</v>
      </c>
      <c r="AF29" s="156" t="n">
        <v>0</v>
      </c>
      <c r="AG29" s="156" t="n">
        <v>0</v>
      </c>
      <c r="AH29" s="156" t="n">
        <v>0</v>
      </c>
      <c r="AI29" s="156" t="n">
        <v>0</v>
      </c>
      <c r="AJ29" s="156" t="n">
        <v>0</v>
      </c>
      <c r="AK29" s="156" t="n">
        <v>0</v>
      </c>
      <c r="AL29" s="156" t="n">
        <v>0</v>
      </c>
      <c r="AM29" s="156" t="n">
        <v>0</v>
      </c>
      <c r="AN29" s="156" t="n">
        <v>0</v>
      </c>
      <c r="AO29" s="156" t="n">
        <v>0</v>
      </c>
      <c r="AP29" s="156" t="n">
        <v>0</v>
      </c>
      <c r="AQ29" s="156" t="n">
        <v>0</v>
      </c>
      <c r="AR29" s="156" t="n">
        <v>0</v>
      </c>
      <c r="AS29" s="156" t="n">
        <v>0</v>
      </c>
      <c r="AT29" s="156" t="n">
        <v>0</v>
      </c>
      <c r="AU29" s="156" t="n">
        <v>0</v>
      </c>
      <c r="AV29" s="156" t="n">
        <v>0</v>
      </c>
      <c r="AW29" s="156" t="n">
        <v>0</v>
      </c>
      <c r="AX29" s="156" t="n">
        <v>0</v>
      </c>
      <c r="AY29" s="156" t="n">
        <v>0</v>
      </c>
      <c r="AZ29" s="156" t="n">
        <v>0</v>
      </c>
      <c r="BA29" s="156" t="n">
        <v>0</v>
      </c>
      <c r="BB29" s="156" t="n">
        <v>0</v>
      </c>
      <c r="BC29" s="156" t="n">
        <v>0</v>
      </c>
      <c r="BD29" s="156" t="n">
        <v>0</v>
      </c>
      <c r="BE29" s="156" t="n">
        <v>0</v>
      </c>
      <c r="BF29" s="156" t="n">
        <v>0</v>
      </c>
      <c r="BG29" s="156" t="n">
        <v>0</v>
      </c>
      <c r="BH29" s="156" t="n">
        <v>0</v>
      </c>
      <c r="BI29" s="156" t="n">
        <v>0</v>
      </c>
      <c r="BJ29" s="156" t="n">
        <v>0</v>
      </c>
      <c r="BL29" s="157" t="n">
        <v>0</v>
      </c>
      <c r="BM29" s="157" t="n">
        <v>0</v>
      </c>
      <c r="BN29" s="157" t="n">
        <v>0</v>
      </c>
      <c r="BO29" s="157" t="n">
        <v>0</v>
      </c>
      <c r="BP29" s="157" t="n">
        <v>0</v>
      </c>
    </row>
    <row r="30" ht="15" customHeight="1" s="104">
      <c r="A30" s="184" t="inlineStr">
        <is>
          <t xml:space="preserve">      Add-On 1 – Acquired Net Working Capital</t>
        </is>
      </c>
      <c r="C30" s="156" t="n">
        <v>0</v>
      </c>
      <c r="D30" s="156" t="n">
        <v>0</v>
      </c>
      <c r="E30" s="156" t="n">
        <v>0</v>
      </c>
      <c r="F30" s="156" t="n">
        <v>0</v>
      </c>
      <c r="G30" s="156" t="n">
        <v>0</v>
      </c>
      <c r="H30" s="156" t="n">
        <v>0</v>
      </c>
      <c r="I30" s="156" t="n">
        <v>0</v>
      </c>
      <c r="J30" s="156" t="n">
        <v>0</v>
      </c>
      <c r="K30" s="156" t="n">
        <v>0</v>
      </c>
      <c r="L30" s="156" t="n">
        <v>0</v>
      </c>
      <c r="M30" s="156" t="n">
        <v>0</v>
      </c>
      <c r="N30" s="156" t="n">
        <v>0</v>
      </c>
      <c r="O30" s="156" t="n">
        <v>0</v>
      </c>
      <c r="P30" s="156" t="n">
        <v>0</v>
      </c>
      <c r="Q30" s="156" t="n">
        <v>0</v>
      </c>
      <c r="R30" s="156" t="n">
        <v>0</v>
      </c>
      <c r="S30" s="156" t="n">
        <v>0</v>
      </c>
      <c r="T30" s="156" t="n">
        <v>0</v>
      </c>
      <c r="U30" s="156" t="n">
        <v>0</v>
      </c>
      <c r="V30" s="156" t="n">
        <v>0</v>
      </c>
      <c r="W30" s="156" t="n">
        <v>0</v>
      </c>
      <c r="X30" s="156" t="n">
        <v>0</v>
      </c>
      <c r="Y30" s="156" t="n">
        <v>0</v>
      </c>
      <c r="Z30" s="156" t="n">
        <v>0</v>
      </c>
      <c r="AA30" s="156" t="n">
        <v>0</v>
      </c>
      <c r="AB30" s="156" t="n">
        <v>0</v>
      </c>
      <c r="AC30" s="156" t="n">
        <v>0</v>
      </c>
      <c r="AD30" s="156" t="n">
        <v>0</v>
      </c>
      <c r="AE30" s="156" t="n">
        <v>0</v>
      </c>
      <c r="AF30" s="156" t="n">
        <v>0</v>
      </c>
      <c r="AG30" s="156" t="n">
        <v>0</v>
      </c>
      <c r="AH30" s="156" t="n">
        <v>0</v>
      </c>
      <c r="AI30" s="156" t="n">
        <v>0</v>
      </c>
      <c r="AJ30" s="156" t="n">
        <v>0</v>
      </c>
      <c r="AK30" s="156" t="n">
        <v>0</v>
      </c>
      <c r="AL30" s="156" t="n">
        <v>0</v>
      </c>
      <c r="AM30" s="156" t="n">
        <v>0</v>
      </c>
      <c r="AN30" s="156" t="n">
        <v>0</v>
      </c>
      <c r="AO30" s="156" t="n">
        <v>0</v>
      </c>
      <c r="AP30" s="156" t="n">
        <v>0</v>
      </c>
      <c r="AQ30" s="156" t="n">
        <v>0</v>
      </c>
      <c r="AR30" s="156" t="n">
        <v>0</v>
      </c>
      <c r="AS30" s="156" t="n">
        <v>0</v>
      </c>
      <c r="AT30" s="156" t="n">
        <v>0</v>
      </c>
      <c r="AU30" s="156" t="n">
        <v>0</v>
      </c>
      <c r="AV30" s="156" t="n">
        <v>0</v>
      </c>
      <c r="AW30" s="156" t="n">
        <v>0</v>
      </c>
      <c r="AX30" s="156" t="n">
        <v>0</v>
      </c>
      <c r="AY30" s="156" t="n">
        <v>0</v>
      </c>
      <c r="AZ30" s="156" t="n">
        <v>0</v>
      </c>
      <c r="BA30" s="156" t="n">
        <v>0</v>
      </c>
      <c r="BB30" s="156" t="n">
        <v>0</v>
      </c>
      <c r="BC30" s="156" t="n">
        <v>0</v>
      </c>
      <c r="BD30" s="156" t="n">
        <v>0</v>
      </c>
      <c r="BE30" s="156" t="n">
        <v>0</v>
      </c>
      <c r="BF30" s="156" t="n">
        <v>0</v>
      </c>
      <c r="BG30" s="156" t="n">
        <v>0</v>
      </c>
      <c r="BH30" s="156" t="n">
        <v>0</v>
      </c>
      <c r="BI30" s="156" t="n">
        <v>0</v>
      </c>
      <c r="BJ30" s="156" t="n">
        <v>0</v>
      </c>
      <c r="BL30" s="157" t="n">
        <v>0</v>
      </c>
      <c r="BM30" s="157" t="n">
        <v>0</v>
      </c>
      <c r="BN30" s="157" t="n">
        <v>0</v>
      </c>
      <c r="BO30" s="157" t="n">
        <v>0</v>
      </c>
      <c r="BP30" s="157" t="n">
        <v>0</v>
      </c>
    </row>
    <row r="31" ht="15" customHeight="1" s="104">
      <c r="A31" s="184" t="inlineStr">
        <is>
          <t xml:space="preserve">      Add-On 2 – Acquired Net Working Capital</t>
        </is>
      </c>
      <c r="C31" s="156" t="n">
        <v>0</v>
      </c>
      <c r="D31" s="156" t="n">
        <v>0</v>
      </c>
      <c r="E31" s="156" t="n">
        <v>0</v>
      </c>
      <c r="F31" s="156" t="n">
        <v>0</v>
      </c>
      <c r="G31" s="156" t="n">
        <v>0</v>
      </c>
      <c r="H31" s="156" t="n">
        <v>0</v>
      </c>
      <c r="I31" s="156" t="n">
        <v>0</v>
      </c>
      <c r="J31" s="156" t="n">
        <v>0</v>
      </c>
      <c r="K31" s="156" t="n">
        <v>0</v>
      </c>
      <c r="L31" s="156" t="n">
        <v>0</v>
      </c>
      <c r="M31" s="156" t="n">
        <v>0</v>
      </c>
      <c r="N31" s="156" t="n">
        <v>0</v>
      </c>
      <c r="O31" s="156" t="n">
        <v>0</v>
      </c>
      <c r="P31" s="156" t="n">
        <v>0</v>
      </c>
      <c r="Q31" s="156" t="n">
        <v>0</v>
      </c>
      <c r="R31" s="156" t="n">
        <v>0</v>
      </c>
      <c r="S31" s="156" t="n">
        <v>0</v>
      </c>
      <c r="T31" s="156" t="n">
        <v>0</v>
      </c>
      <c r="U31" s="156" t="n">
        <v>0</v>
      </c>
      <c r="V31" s="156" t="n">
        <v>0</v>
      </c>
      <c r="W31" s="156" t="n">
        <v>0</v>
      </c>
      <c r="X31" s="156" t="n">
        <v>0</v>
      </c>
      <c r="Y31" s="156" t="n">
        <v>0</v>
      </c>
      <c r="Z31" s="156" t="n">
        <v>0</v>
      </c>
      <c r="AA31" s="156" t="n">
        <v>0</v>
      </c>
      <c r="AB31" s="156" t="n">
        <v>0</v>
      </c>
      <c r="AC31" s="156" t="n">
        <v>0</v>
      </c>
      <c r="AD31" s="156" t="n">
        <v>0</v>
      </c>
      <c r="AE31" s="156" t="n">
        <v>0</v>
      </c>
      <c r="AF31" s="156" t="n">
        <v>0</v>
      </c>
      <c r="AG31" s="156" t="n">
        <v>0</v>
      </c>
      <c r="AH31" s="156" t="n">
        <v>0</v>
      </c>
      <c r="AI31" s="156" t="n">
        <v>0</v>
      </c>
      <c r="AJ31" s="156" t="n">
        <v>0</v>
      </c>
      <c r="AK31" s="156" t="n">
        <v>0</v>
      </c>
      <c r="AL31" s="156" t="n">
        <v>0</v>
      </c>
      <c r="AM31" s="156" t="n">
        <v>0</v>
      </c>
      <c r="AN31" s="156" t="n">
        <v>0</v>
      </c>
      <c r="AO31" s="156" t="n">
        <v>0</v>
      </c>
      <c r="AP31" s="156" t="n">
        <v>0</v>
      </c>
      <c r="AQ31" s="156" t="n">
        <v>0</v>
      </c>
      <c r="AR31" s="156" t="n">
        <v>0</v>
      </c>
      <c r="AS31" s="156" t="n">
        <v>0</v>
      </c>
      <c r="AT31" s="156" t="n">
        <v>0</v>
      </c>
      <c r="AU31" s="156" t="n">
        <v>0</v>
      </c>
      <c r="AV31" s="156" t="n">
        <v>0</v>
      </c>
      <c r="AW31" s="156" t="n">
        <v>0</v>
      </c>
      <c r="AX31" s="156" t="n">
        <v>0</v>
      </c>
      <c r="AY31" s="156" t="n">
        <v>0</v>
      </c>
      <c r="AZ31" s="156" t="n">
        <v>0</v>
      </c>
      <c r="BA31" s="156" t="n">
        <v>0</v>
      </c>
      <c r="BB31" s="156" t="n">
        <v>0</v>
      </c>
      <c r="BC31" s="156" t="n">
        <v>0</v>
      </c>
      <c r="BD31" s="156" t="n">
        <v>0</v>
      </c>
      <c r="BE31" s="156" t="n">
        <v>0</v>
      </c>
      <c r="BF31" s="156" t="n">
        <v>0</v>
      </c>
      <c r="BG31" s="156" t="n">
        <v>0</v>
      </c>
      <c r="BH31" s="156" t="n">
        <v>0</v>
      </c>
      <c r="BI31" s="156" t="n">
        <v>0</v>
      </c>
      <c r="BJ31" s="156" t="n">
        <v>0</v>
      </c>
      <c r="BL31" s="157" t="n">
        <v>0</v>
      </c>
      <c r="BM31" s="157" t="n">
        <v>0</v>
      </c>
      <c r="BN31" s="157" t="n">
        <v>0</v>
      </c>
      <c r="BO31" s="157" t="n">
        <v>0</v>
      </c>
      <c r="BP31" s="157" t="n">
        <v>0</v>
      </c>
    </row>
    <row r="32" ht="15" customHeight="1" s="104">
      <c r="A32" s="184" t="inlineStr">
        <is>
          <t xml:space="preserve">      Add-On 3 – Acquired Net Working Capital</t>
        </is>
      </c>
      <c r="C32" s="156" t="n">
        <v>0</v>
      </c>
      <c r="D32" s="156" t="n">
        <v>0</v>
      </c>
      <c r="E32" s="156" t="n">
        <v>0</v>
      </c>
      <c r="F32" s="156" t="n">
        <v>0</v>
      </c>
      <c r="G32" s="156" t="n">
        <v>0</v>
      </c>
      <c r="H32" s="156" t="n">
        <v>0</v>
      </c>
      <c r="I32" s="156" t="n">
        <v>0</v>
      </c>
      <c r="J32" s="156" t="n">
        <v>0</v>
      </c>
      <c r="K32" s="156" t="n">
        <v>0</v>
      </c>
      <c r="L32" s="156" t="n">
        <v>0</v>
      </c>
      <c r="M32" s="156" t="n">
        <v>0</v>
      </c>
      <c r="N32" s="156" t="n">
        <v>0</v>
      </c>
      <c r="O32" s="156" t="n">
        <v>0</v>
      </c>
      <c r="P32" s="156" t="n">
        <v>0</v>
      </c>
      <c r="Q32" s="156" t="n">
        <v>0</v>
      </c>
      <c r="R32" s="156" t="n">
        <v>0</v>
      </c>
      <c r="S32" s="156" t="n">
        <v>0</v>
      </c>
      <c r="T32" s="156" t="n">
        <v>0</v>
      </c>
      <c r="U32" s="156" t="n">
        <v>0</v>
      </c>
      <c r="V32" s="156" t="n">
        <v>0</v>
      </c>
      <c r="W32" s="156" t="n">
        <v>0</v>
      </c>
      <c r="X32" s="156" t="n">
        <v>0</v>
      </c>
      <c r="Y32" s="156" t="n">
        <v>0</v>
      </c>
      <c r="Z32" s="156" t="n">
        <v>0</v>
      </c>
      <c r="AA32" s="156" t="n">
        <v>0</v>
      </c>
      <c r="AB32" s="156" t="n">
        <v>0</v>
      </c>
      <c r="AC32" s="156" t="n">
        <v>0</v>
      </c>
      <c r="AD32" s="156" t="n">
        <v>0</v>
      </c>
      <c r="AE32" s="156" t="n">
        <v>0</v>
      </c>
      <c r="AF32" s="156" t="n">
        <v>0</v>
      </c>
      <c r="AG32" s="156" t="n">
        <v>0</v>
      </c>
      <c r="AH32" s="156" t="n">
        <v>0</v>
      </c>
      <c r="AI32" s="156" t="n">
        <v>0</v>
      </c>
      <c r="AJ32" s="156" t="n">
        <v>0</v>
      </c>
      <c r="AK32" s="156" t="n">
        <v>0</v>
      </c>
      <c r="AL32" s="156" t="n">
        <v>0</v>
      </c>
      <c r="AM32" s="156" t="n">
        <v>0</v>
      </c>
      <c r="AN32" s="156" t="n">
        <v>0</v>
      </c>
      <c r="AO32" s="156" t="n">
        <v>0</v>
      </c>
      <c r="AP32" s="156" t="n">
        <v>0</v>
      </c>
      <c r="AQ32" s="156" t="n">
        <v>0</v>
      </c>
      <c r="AR32" s="156" t="n">
        <v>0</v>
      </c>
      <c r="AS32" s="156" t="n">
        <v>0</v>
      </c>
      <c r="AT32" s="156" t="n">
        <v>0</v>
      </c>
      <c r="AU32" s="156" t="n">
        <v>0</v>
      </c>
      <c r="AV32" s="156" t="n">
        <v>0</v>
      </c>
      <c r="AW32" s="156" t="n">
        <v>0</v>
      </c>
      <c r="AX32" s="156" t="n">
        <v>0</v>
      </c>
      <c r="AY32" s="156" t="n">
        <v>0</v>
      </c>
      <c r="AZ32" s="156" t="n">
        <v>0</v>
      </c>
      <c r="BA32" s="156" t="n">
        <v>0</v>
      </c>
      <c r="BB32" s="156" t="n">
        <v>0</v>
      </c>
      <c r="BC32" s="156" t="n">
        <v>0</v>
      </c>
      <c r="BD32" s="156" t="n">
        <v>0</v>
      </c>
      <c r="BE32" s="156" t="n">
        <v>0</v>
      </c>
      <c r="BF32" s="156" t="n">
        <v>0</v>
      </c>
      <c r="BG32" s="156" t="n">
        <v>0</v>
      </c>
      <c r="BH32" s="156" t="n">
        <v>0</v>
      </c>
      <c r="BI32" s="156" t="n">
        <v>0</v>
      </c>
      <c r="BJ32" s="156" t="n">
        <v>0</v>
      </c>
      <c r="BL32" s="157" t="n">
        <v>0</v>
      </c>
      <c r="BM32" s="157" t="n">
        <v>0</v>
      </c>
      <c r="BN32" s="157" t="n">
        <v>0</v>
      </c>
      <c r="BO32" s="157" t="n">
        <v>0</v>
      </c>
      <c r="BP32" s="157" t="n">
        <v>0</v>
      </c>
    </row>
    <row r="33" ht="15" customHeight="1" s="104">
      <c r="A33" s="184" t="inlineStr">
        <is>
          <t xml:space="preserve">      Add-On 4 – Acquired Net Working Capital</t>
        </is>
      </c>
      <c r="C33" s="156" t="n">
        <v>0</v>
      </c>
      <c r="D33" s="156" t="n">
        <v>0</v>
      </c>
      <c r="E33" s="156" t="n">
        <v>0</v>
      </c>
      <c r="F33" s="156" t="n">
        <v>0</v>
      </c>
      <c r="G33" s="156" t="n">
        <v>0</v>
      </c>
      <c r="H33" s="156" t="n">
        <v>0</v>
      </c>
      <c r="I33" s="156" t="n">
        <v>0</v>
      </c>
      <c r="J33" s="156" t="n">
        <v>0</v>
      </c>
      <c r="K33" s="156" t="n">
        <v>0</v>
      </c>
      <c r="L33" s="156" t="n">
        <v>0</v>
      </c>
      <c r="M33" s="156" t="n">
        <v>0</v>
      </c>
      <c r="N33" s="156" t="n">
        <v>0</v>
      </c>
      <c r="O33" s="156" t="n">
        <v>0</v>
      </c>
      <c r="P33" s="156" t="n">
        <v>0</v>
      </c>
      <c r="Q33" s="156" t="n">
        <v>0</v>
      </c>
      <c r="R33" s="156" t="n">
        <v>0</v>
      </c>
      <c r="S33" s="156" t="n">
        <v>0</v>
      </c>
      <c r="T33" s="156" t="n">
        <v>0</v>
      </c>
      <c r="U33" s="156" t="n">
        <v>0</v>
      </c>
      <c r="V33" s="156" t="n">
        <v>0</v>
      </c>
      <c r="W33" s="156" t="n">
        <v>0</v>
      </c>
      <c r="X33" s="156" t="n">
        <v>0</v>
      </c>
      <c r="Y33" s="156" t="n">
        <v>0</v>
      </c>
      <c r="Z33" s="156" t="n">
        <v>0</v>
      </c>
      <c r="AA33" s="156" t="n">
        <v>0</v>
      </c>
      <c r="AB33" s="156" t="n">
        <v>0</v>
      </c>
      <c r="AC33" s="156" t="n">
        <v>0</v>
      </c>
      <c r="AD33" s="156" t="n">
        <v>0</v>
      </c>
      <c r="AE33" s="156" t="n">
        <v>0</v>
      </c>
      <c r="AF33" s="156" t="n">
        <v>0</v>
      </c>
      <c r="AG33" s="156" t="n">
        <v>0</v>
      </c>
      <c r="AH33" s="156" t="n">
        <v>0</v>
      </c>
      <c r="AI33" s="156" t="n">
        <v>0</v>
      </c>
      <c r="AJ33" s="156" t="n">
        <v>0</v>
      </c>
      <c r="AK33" s="156" t="n">
        <v>0</v>
      </c>
      <c r="AL33" s="156" t="n">
        <v>0</v>
      </c>
      <c r="AM33" s="156" t="n">
        <v>0</v>
      </c>
      <c r="AN33" s="156" t="n">
        <v>0</v>
      </c>
      <c r="AO33" s="156" t="n">
        <v>0</v>
      </c>
      <c r="AP33" s="156" t="n">
        <v>0</v>
      </c>
      <c r="AQ33" s="156" t="n">
        <v>0</v>
      </c>
      <c r="AR33" s="156" t="n">
        <v>0</v>
      </c>
      <c r="AS33" s="156" t="n">
        <v>0</v>
      </c>
      <c r="AT33" s="156" t="n">
        <v>0</v>
      </c>
      <c r="AU33" s="156" t="n">
        <v>0</v>
      </c>
      <c r="AV33" s="156" t="n">
        <v>0</v>
      </c>
      <c r="AW33" s="156" t="n">
        <v>0</v>
      </c>
      <c r="AX33" s="156" t="n">
        <v>0</v>
      </c>
      <c r="AY33" s="156" t="n">
        <v>0</v>
      </c>
      <c r="AZ33" s="156" t="n">
        <v>0</v>
      </c>
      <c r="BA33" s="156" t="n">
        <v>0</v>
      </c>
      <c r="BB33" s="156" t="n">
        <v>0</v>
      </c>
      <c r="BC33" s="156" t="n">
        <v>0</v>
      </c>
      <c r="BD33" s="156" t="n">
        <v>0</v>
      </c>
      <c r="BE33" s="156" t="n">
        <v>0</v>
      </c>
      <c r="BF33" s="156" t="n">
        <v>0</v>
      </c>
      <c r="BG33" s="156" t="n">
        <v>0</v>
      </c>
      <c r="BH33" s="156" t="n">
        <v>0</v>
      </c>
      <c r="BI33" s="156" t="n">
        <v>0</v>
      </c>
      <c r="BJ33" s="156" t="n">
        <v>0</v>
      </c>
      <c r="BL33" s="157" t="n">
        <v>0</v>
      </c>
      <c r="BM33" s="157" t="n">
        <v>0</v>
      </c>
      <c r="BN33" s="157" t="n">
        <v>0</v>
      </c>
      <c r="BO33" s="157" t="n">
        <v>0</v>
      </c>
      <c r="BP33" s="157" t="n">
        <v>0</v>
      </c>
    </row>
    <row r="34" ht="15" customHeight="1" s="104">
      <c r="A34" s="184" t="inlineStr">
        <is>
          <t xml:space="preserve">      Add-On 5 – Acquired Net Working Capital</t>
        </is>
      </c>
      <c r="C34" s="156" t="n">
        <v>0</v>
      </c>
      <c r="D34" s="156" t="n">
        <v>0</v>
      </c>
      <c r="E34" s="156" t="n">
        <v>0</v>
      </c>
      <c r="F34" s="156" t="n">
        <v>0</v>
      </c>
      <c r="G34" s="156" t="n">
        <v>0</v>
      </c>
      <c r="H34" s="156" t="n">
        <v>0</v>
      </c>
      <c r="I34" s="156" t="n">
        <v>0</v>
      </c>
      <c r="J34" s="156" t="n">
        <v>0</v>
      </c>
      <c r="K34" s="156" t="n">
        <v>0</v>
      </c>
      <c r="L34" s="156" t="n">
        <v>0</v>
      </c>
      <c r="M34" s="156" t="n">
        <v>0</v>
      </c>
      <c r="N34" s="156" t="n">
        <v>0</v>
      </c>
      <c r="O34" s="156" t="n">
        <v>0</v>
      </c>
      <c r="P34" s="156" t="n">
        <v>0</v>
      </c>
      <c r="Q34" s="156" t="n">
        <v>0</v>
      </c>
      <c r="R34" s="156" t="n">
        <v>0</v>
      </c>
      <c r="S34" s="156" t="n">
        <v>0</v>
      </c>
      <c r="T34" s="156" t="n">
        <v>0</v>
      </c>
      <c r="U34" s="156" t="n">
        <v>0</v>
      </c>
      <c r="V34" s="156" t="n">
        <v>0</v>
      </c>
      <c r="W34" s="156" t="n">
        <v>0</v>
      </c>
      <c r="X34" s="156" t="n">
        <v>0</v>
      </c>
      <c r="Y34" s="156" t="n">
        <v>0</v>
      </c>
      <c r="Z34" s="156" t="n">
        <v>0</v>
      </c>
      <c r="AA34" s="156" t="n">
        <v>0</v>
      </c>
      <c r="AB34" s="156" t="n">
        <v>0</v>
      </c>
      <c r="AC34" s="156" t="n">
        <v>0</v>
      </c>
      <c r="AD34" s="156" t="n">
        <v>0</v>
      </c>
      <c r="AE34" s="156" t="n">
        <v>0</v>
      </c>
      <c r="AF34" s="156" t="n">
        <v>0</v>
      </c>
      <c r="AG34" s="156" t="n">
        <v>0</v>
      </c>
      <c r="AH34" s="156" t="n">
        <v>0</v>
      </c>
      <c r="AI34" s="156" t="n">
        <v>0</v>
      </c>
      <c r="AJ34" s="156" t="n">
        <v>0</v>
      </c>
      <c r="AK34" s="156" t="n">
        <v>0</v>
      </c>
      <c r="AL34" s="156" t="n">
        <v>0</v>
      </c>
      <c r="AM34" s="156" t="n">
        <v>0</v>
      </c>
      <c r="AN34" s="156" t="n">
        <v>0</v>
      </c>
      <c r="AO34" s="156" t="n">
        <v>0</v>
      </c>
      <c r="AP34" s="156" t="n">
        <v>0</v>
      </c>
      <c r="AQ34" s="156" t="n">
        <v>0</v>
      </c>
      <c r="AR34" s="156" t="n">
        <v>0</v>
      </c>
      <c r="AS34" s="156" t="n">
        <v>0</v>
      </c>
      <c r="AT34" s="156" t="n">
        <v>0</v>
      </c>
      <c r="AU34" s="156" t="n">
        <v>0</v>
      </c>
      <c r="AV34" s="156" t="n">
        <v>0</v>
      </c>
      <c r="AW34" s="156" t="n">
        <v>0</v>
      </c>
      <c r="AX34" s="156" t="n">
        <v>0</v>
      </c>
      <c r="AY34" s="156" t="n">
        <v>0</v>
      </c>
      <c r="AZ34" s="156" t="n">
        <v>0</v>
      </c>
      <c r="BA34" s="156" t="n">
        <v>0</v>
      </c>
      <c r="BB34" s="156" t="n">
        <v>0</v>
      </c>
      <c r="BC34" s="156" t="n">
        <v>0</v>
      </c>
      <c r="BD34" s="156" t="n">
        <v>0</v>
      </c>
      <c r="BE34" s="156" t="n">
        <v>0</v>
      </c>
      <c r="BF34" s="156" t="n">
        <v>0</v>
      </c>
      <c r="BG34" s="156" t="n">
        <v>0</v>
      </c>
      <c r="BH34" s="156" t="n">
        <v>0</v>
      </c>
      <c r="BI34" s="156" t="n">
        <v>0</v>
      </c>
      <c r="BJ34" s="156" t="n">
        <v>0</v>
      </c>
      <c r="BL34" s="157" t="n">
        <v>0</v>
      </c>
      <c r="BM34" s="157" t="n">
        <v>0</v>
      </c>
      <c r="BN34" s="157" t="n">
        <v>0</v>
      </c>
      <c r="BO34" s="157" t="n">
        <v>0</v>
      </c>
      <c r="BP34" s="157" t="n">
        <v>0</v>
      </c>
    </row>
    <row r="35" ht="15" customHeight="1" s="104">
      <c r="A35" s="184" t="inlineStr">
        <is>
          <t xml:space="preserve">      Add-On 6 – Acquired Net Working Capital</t>
        </is>
      </c>
      <c r="C35" s="156" t="n">
        <v>0</v>
      </c>
      <c r="D35" s="156" t="n">
        <v>0</v>
      </c>
      <c r="E35" s="156" t="n">
        <v>0</v>
      </c>
      <c r="F35" s="156" t="n">
        <v>0</v>
      </c>
      <c r="G35" s="156" t="n">
        <v>0</v>
      </c>
      <c r="H35" s="156" t="n">
        <v>0</v>
      </c>
      <c r="I35" s="156" t="n">
        <v>0</v>
      </c>
      <c r="J35" s="156" t="n">
        <v>0</v>
      </c>
      <c r="K35" s="156" t="n">
        <v>0</v>
      </c>
      <c r="L35" s="156" t="n">
        <v>0</v>
      </c>
      <c r="M35" s="156" t="n">
        <v>0</v>
      </c>
      <c r="N35" s="156" t="n">
        <v>0</v>
      </c>
      <c r="O35" s="156" t="n">
        <v>0</v>
      </c>
      <c r="P35" s="156" t="n">
        <v>0</v>
      </c>
      <c r="Q35" s="156" t="n">
        <v>0</v>
      </c>
      <c r="R35" s="156" t="n">
        <v>0</v>
      </c>
      <c r="S35" s="156" t="n">
        <v>0</v>
      </c>
      <c r="T35" s="156" t="n">
        <v>0</v>
      </c>
      <c r="U35" s="156" t="n">
        <v>0</v>
      </c>
      <c r="V35" s="156" t="n">
        <v>0</v>
      </c>
      <c r="W35" s="156" t="n">
        <v>0</v>
      </c>
      <c r="X35" s="156" t="n">
        <v>0</v>
      </c>
      <c r="Y35" s="156" t="n">
        <v>0</v>
      </c>
      <c r="Z35" s="156" t="n">
        <v>0</v>
      </c>
      <c r="AA35" s="156" t="n">
        <v>0</v>
      </c>
      <c r="AB35" s="156" t="n">
        <v>0</v>
      </c>
      <c r="AC35" s="156" t="n">
        <v>0</v>
      </c>
      <c r="AD35" s="156" t="n">
        <v>0</v>
      </c>
      <c r="AE35" s="156" t="n">
        <v>0</v>
      </c>
      <c r="AF35" s="156" t="n">
        <v>0</v>
      </c>
      <c r="AG35" s="156" t="n">
        <v>0</v>
      </c>
      <c r="AH35" s="156" t="n">
        <v>0</v>
      </c>
      <c r="AI35" s="156" t="n">
        <v>0</v>
      </c>
      <c r="AJ35" s="156" t="n">
        <v>0</v>
      </c>
      <c r="AK35" s="156" t="n">
        <v>0</v>
      </c>
      <c r="AL35" s="156" t="n">
        <v>0</v>
      </c>
      <c r="AM35" s="156" t="n">
        <v>0</v>
      </c>
      <c r="AN35" s="156" t="n">
        <v>0</v>
      </c>
      <c r="AO35" s="156" t="n">
        <v>0</v>
      </c>
      <c r="AP35" s="156" t="n">
        <v>0</v>
      </c>
      <c r="AQ35" s="156" t="n">
        <v>0</v>
      </c>
      <c r="AR35" s="156" t="n">
        <v>0</v>
      </c>
      <c r="AS35" s="156" t="n">
        <v>0</v>
      </c>
      <c r="AT35" s="156" t="n">
        <v>0</v>
      </c>
      <c r="AU35" s="156" t="n">
        <v>0</v>
      </c>
      <c r="AV35" s="156" t="n">
        <v>0</v>
      </c>
      <c r="AW35" s="156" t="n">
        <v>0</v>
      </c>
      <c r="AX35" s="156" t="n">
        <v>0</v>
      </c>
      <c r="AY35" s="156" t="n">
        <v>0</v>
      </c>
      <c r="AZ35" s="156" t="n">
        <v>0</v>
      </c>
      <c r="BA35" s="156" t="n">
        <v>0</v>
      </c>
      <c r="BB35" s="156" t="n">
        <v>0</v>
      </c>
      <c r="BC35" s="156" t="n">
        <v>0</v>
      </c>
      <c r="BD35" s="156" t="n">
        <v>0</v>
      </c>
      <c r="BE35" s="156" t="n">
        <v>0</v>
      </c>
      <c r="BF35" s="156" t="n">
        <v>0</v>
      </c>
      <c r="BG35" s="156" t="n">
        <v>0</v>
      </c>
      <c r="BH35" s="156" t="n">
        <v>0</v>
      </c>
      <c r="BI35" s="156" t="n">
        <v>0</v>
      </c>
      <c r="BJ35" s="156" t="n">
        <v>0</v>
      </c>
      <c r="BL35" s="157" t="n">
        <v>0</v>
      </c>
      <c r="BM35" s="157" t="n">
        <v>0</v>
      </c>
      <c r="BN35" s="157" t="n">
        <v>0</v>
      </c>
      <c r="BO35" s="157" t="n">
        <v>0</v>
      </c>
      <c r="BP35" s="157" t="n">
        <v>0</v>
      </c>
    </row>
    <row r="36" ht="15" customHeight="1" s="104">
      <c r="A36" s="184" t="inlineStr">
        <is>
          <t xml:space="preserve">      Add-On 7 – Acquired Net Working Capital</t>
        </is>
      </c>
      <c r="C36" s="156" t="n">
        <v>0</v>
      </c>
      <c r="D36" s="156" t="n">
        <v>0</v>
      </c>
      <c r="E36" s="156" t="n">
        <v>0</v>
      </c>
      <c r="F36" s="156" t="n">
        <v>0</v>
      </c>
      <c r="G36" s="156" t="n">
        <v>0</v>
      </c>
      <c r="H36" s="156" t="n">
        <v>0</v>
      </c>
      <c r="I36" s="156" t="n">
        <v>0</v>
      </c>
      <c r="J36" s="156" t="n">
        <v>0</v>
      </c>
      <c r="K36" s="156" t="n">
        <v>0</v>
      </c>
      <c r="L36" s="156" t="n">
        <v>0</v>
      </c>
      <c r="M36" s="156" t="n">
        <v>0</v>
      </c>
      <c r="N36" s="156" t="n">
        <v>0</v>
      </c>
      <c r="O36" s="156" t="n">
        <v>0</v>
      </c>
      <c r="P36" s="156" t="n">
        <v>0</v>
      </c>
      <c r="Q36" s="156" t="n">
        <v>0</v>
      </c>
      <c r="R36" s="156" t="n">
        <v>0</v>
      </c>
      <c r="S36" s="156" t="n">
        <v>0</v>
      </c>
      <c r="T36" s="156" t="n">
        <v>0</v>
      </c>
      <c r="U36" s="156" t="n">
        <v>0</v>
      </c>
      <c r="V36" s="156" t="n">
        <v>0</v>
      </c>
      <c r="W36" s="156" t="n">
        <v>0</v>
      </c>
      <c r="X36" s="156" t="n">
        <v>0</v>
      </c>
      <c r="Y36" s="156" t="n">
        <v>0</v>
      </c>
      <c r="Z36" s="156" t="n">
        <v>0</v>
      </c>
      <c r="AA36" s="156" t="n">
        <v>0</v>
      </c>
      <c r="AB36" s="156" t="n">
        <v>0</v>
      </c>
      <c r="AC36" s="156" t="n">
        <v>0</v>
      </c>
      <c r="AD36" s="156" t="n">
        <v>0</v>
      </c>
      <c r="AE36" s="156" t="n">
        <v>0</v>
      </c>
      <c r="AF36" s="156" t="n">
        <v>0</v>
      </c>
      <c r="AG36" s="156" t="n">
        <v>0</v>
      </c>
      <c r="AH36" s="156" t="n">
        <v>0</v>
      </c>
      <c r="AI36" s="156" t="n">
        <v>0</v>
      </c>
      <c r="AJ36" s="156" t="n">
        <v>0</v>
      </c>
      <c r="AK36" s="156" t="n">
        <v>0</v>
      </c>
      <c r="AL36" s="156" t="n">
        <v>0</v>
      </c>
      <c r="AM36" s="156" t="n">
        <v>0</v>
      </c>
      <c r="AN36" s="156" t="n">
        <v>0</v>
      </c>
      <c r="AO36" s="156" t="n">
        <v>0</v>
      </c>
      <c r="AP36" s="156" t="n">
        <v>0</v>
      </c>
      <c r="AQ36" s="156" t="n">
        <v>0</v>
      </c>
      <c r="AR36" s="156" t="n">
        <v>0</v>
      </c>
      <c r="AS36" s="156" t="n">
        <v>0</v>
      </c>
      <c r="AT36" s="156" t="n">
        <v>0</v>
      </c>
      <c r="AU36" s="156" t="n">
        <v>0</v>
      </c>
      <c r="AV36" s="156" t="n">
        <v>0</v>
      </c>
      <c r="AW36" s="156" t="n">
        <v>0</v>
      </c>
      <c r="AX36" s="156" t="n">
        <v>0</v>
      </c>
      <c r="AY36" s="156" t="n">
        <v>0</v>
      </c>
      <c r="AZ36" s="156" t="n">
        <v>0</v>
      </c>
      <c r="BA36" s="156" t="n">
        <v>0</v>
      </c>
      <c r="BB36" s="156" t="n">
        <v>0</v>
      </c>
      <c r="BC36" s="156" t="n">
        <v>0</v>
      </c>
      <c r="BD36" s="156" t="n">
        <v>0</v>
      </c>
      <c r="BE36" s="156" t="n">
        <v>0</v>
      </c>
      <c r="BF36" s="156" t="n">
        <v>0</v>
      </c>
      <c r="BG36" s="156" t="n">
        <v>0</v>
      </c>
      <c r="BH36" s="156" t="n">
        <v>0</v>
      </c>
      <c r="BI36" s="156" t="n">
        <v>0</v>
      </c>
      <c r="BJ36" s="156" t="n">
        <v>0</v>
      </c>
      <c r="BL36" s="157" t="n">
        <v>0</v>
      </c>
      <c r="BM36" s="157" t="n">
        <v>0</v>
      </c>
      <c r="BN36" s="157" t="n">
        <v>0</v>
      </c>
      <c r="BO36" s="157" t="n">
        <v>0</v>
      </c>
      <c r="BP36" s="157" t="n">
        <v>0</v>
      </c>
    </row>
    <row r="37" ht="15" customHeight="1" s="104">
      <c r="A37" s="184" t="inlineStr">
        <is>
          <t xml:space="preserve">      Add-On 8 – Acquired Net Working Capital</t>
        </is>
      </c>
      <c r="C37" s="156" t="n">
        <v>0</v>
      </c>
      <c r="D37" s="156" t="n">
        <v>0</v>
      </c>
      <c r="E37" s="156" t="n">
        <v>0</v>
      </c>
      <c r="F37" s="156" t="n">
        <v>0</v>
      </c>
      <c r="G37" s="156" t="n">
        <v>0</v>
      </c>
      <c r="H37" s="156" t="n">
        <v>0</v>
      </c>
      <c r="I37" s="156" t="n">
        <v>0</v>
      </c>
      <c r="J37" s="156" t="n">
        <v>0</v>
      </c>
      <c r="K37" s="156" t="n">
        <v>0</v>
      </c>
      <c r="L37" s="156" t="n">
        <v>0</v>
      </c>
      <c r="M37" s="156" t="n">
        <v>0</v>
      </c>
      <c r="N37" s="156" t="n">
        <v>0</v>
      </c>
      <c r="O37" s="156" t="n">
        <v>0</v>
      </c>
      <c r="P37" s="156" t="n">
        <v>0</v>
      </c>
      <c r="Q37" s="156" t="n">
        <v>0</v>
      </c>
      <c r="R37" s="156" t="n">
        <v>0</v>
      </c>
      <c r="S37" s="156" t="n">
        <v>0</v>
      </c>
      <c r="T37" s="156" t="n">
        <v>0</v>
      </c>
      <c r="U37" s="156" t="n">
        <v>0</v>
      </c>
      <c r="V37" s="156" t="n">
        <v>0</v>
      </c>
      <c r="W37" s="156" t="n">
        <v>0</v>
      </c>
      <c r="X37" s="156" t="n">
        <v>0</v>
      </c>
      <c r="Y37" s="156" t="n">
        <v>0</v>
      </c>
      <c r="Z37" s="156" t="n">
        <v>0</v>
      </c>
      <c r="AA37" s="156" t="n">
        <v>0</v>
      </c>
      <c r="AB37" s="156" t="n">
        <v>0</v>
      </c>
      <c r="AC37" s="156" t="n">
        <v>0</v>
      </c>
      <c r="AD37" s="156" t="n">
        <v>0</v>
      </c>
      <c r="AE37" s="156" t="n">
        <v>0</v>
      </c>
      <c r="AF37" s="156" t="n">
        <v>0</v>
      </c>
      <c r="AG37" s="156" t="n">
        <v>0</v>
      </c>
      <c r="AH37" s="156" t="n">
        <v>0</v>
      </c>
      <c r="AI37" s="156" t="n">
        <v>0</v>
      </c>
      <c r="AJ37" s="156" t="n">
        <v>0</v>
      </c>
      <c r="AK37" s="156" t="n">
        <v>0</v>
      </c>
      <c r="AL37" s="156" t="n">
        <v>0</v>
      </c>
      <c r="AM37" s="156" t="n">
        <v>0</v>
      </c>
      <c r="AN37" s="156" t="n">
        <v>0</v>
      </c>
      <c r="AO37" s="156" t="n">
        <v>0</v>
      </c>
      <c r="AP37" s="156" t="n">
        <v>0</v>
      </c>
      <c r="AQ37" s="156" t="n">
        <v>0</v>
      </c>
      <c r="AR37" s="156" t="n">
        <v>0</v>
      </c>
      <c r="AS37" s="156" t="n">
        <v>0</v>
      </c>
      <c r="AT37" s="156" t="n">
        <v>0</v>
      </c>
      <c r="AU37" s="156" t="n">
        <v>0</v>
      </c>
      <c r="AV37" s="156" t="n">
        <v>0</v>
      </c>
      <c r="AW37" s="156" t="n">
        <v>0</v>
      </c>
      <c r="AX37" s="156" t="n">
        <v>0</v>
      </c>
      <c r="AY37" s="156" t="n">
        <v>0</v>
      </c>
      <c r="AZ37" s="156" t="n">
        <v>0</v>
      </c>
      <c r="BA37" s="156" t="n">
        <v>0</v>
      </c>
      <c r="BB37" s="156" t="n">
        <v>0</v>
      </c>
      <c r="BC37" s="156" t="n">
        <v>0</v>
      </c>
      <c r="BD37" s="156" t="n">
        <v>0</v>
      </c>
      <c r="BE37" s="156" t="n">
        <v>0</v>
      </c>
      <c r="BF37" s="156" t="n">
        <v>0</v>
      </c>
      <c r="BG37" s="156" t="n">
        <v>0</v>
      </c>
      <c r="BH37" s="156" t="n">
        <v>0</v>
      </c>
      <c r="BI37" s="156" t="n">
        <v>0</v>
      </c>
      <c r="BJ37" s="156" t="n">
        <v>0</v>
      </c>
      <c r="BL37" s="157" t="n">
        <v>0</v>
      </c>
      <c r="BM37" s="157" t="n">
        <v>0</v>
      </c>
      <c r="BN37" s="157" t="n">
        <v>0</v>
      </c>
      <c r="BO37" s="157" t="n">
        <v>0</v>
      </c>
      <c r="BP37" s="157" t="n">
        <v>0</v>
      </c>
    </row>
    <row r="38" ht="15" customHeight="1" s="104">
      <c r="A38" s="184" t="inlineStr">
        <is>
          <t xml:space="preserve">      Add-On 9 – Acquired Net Working Capital</t>
        </is>
      </c>
      <c r="C38" s="156" t="n">
        <v>0</v>
      </c>
      <c r="D38" s="156" t="n">
        <v>0</v>
      </c>
      <c r="E38" s="156" t="n">
        <v>0</v>
      </c>
      <c r="F38" s="156" t="n">
        <v>0</v>
      </c>
      <c r="G38" s="156" t="n">
        <v>0</v>
      </c>
      <c r="H38" s="156" t="n">
        <v>0</v>
      </c>
      <c r="I38" s="156" t="n">
        <v>0</v>
      </c>
      <c r="J38" s="156" t="n">
        <v>0</v>
      </c>
      <c r="K38" s="156" t="n">
        <v>0</v>
      </c>
      <c r="L38" s="156" t="n">
        <v>0</v>
      </c>
      <c r="M38" s="156" t="n">
        <v>0</v>
      </c>
      <c r="N38" s="156" t="n">
        <v>0</v>
      </c>
      <c r="O38" s="156" t="n">
        <v>0</v>
      </c>
      <c r="P38" s="156" t="n">
        <v>0</v>
      </c>
      <c r="Q38" s="156" t="n">
        <v>0</v>
      </c>
      <c r="R38" s="156" t="n">
        <v>0</v>
      </c>
      <c r="S38" s="156" t="n">
        <v>0</v>
      </c>
      <c r="T38" s="156" t="n">
        <v>0</v>
      </c>
      <c r="U38" s="156" t="n">
        <v>0</v>
      </c>
      <c r="V38" s="156" t="n">
        <v>0</v>
      </c>
      <c r="W38" s="156" t="n">
        <v>0</v>
      </c>
      <c r="X38" s="156" t="n">
        <v>0</v>
      </c>
      <c r="Y38" s="156" t="n">
        <v>0</v>
      </c>
      <c r="Z38" s="156" t="n">
        <v>0</v>
      </c>
      <c r="AA38" s="156" t="n">
        <v>0</v>
      </c>
      <c r="AB38" s="156" t="n">
        <v>0</v>
      </c>
      <c r="AC38" s="156" t="n">
        <v>0</v>
      </c>
      <c r="AD38" s="156" t="n">
        <v>0</v>
      </c>
      <c r="AE38" s="156" t="n">
        <v>0</v>
      </c>
      <c r="AF38" s="156" t="n">
        <v>0</v>
      </c>
      <c r="AG38" s="156" t="n">
        <v>0</v>
      </c>
      <c r="AH38" s="156" t="n">
        <v>0</v>
      </c>
      <c r="AI38" s="156" t="n">
        <v>0</v>
      </c>
      <c r="AJ38" s="156" t="n">
        <v>0</v>
      </c>
      <c r="AK38" s="156" t="n">
        <v>0</v>
      </c>
      <c r="AL38" s="156" t="n">
        <v>0</v>
      </c>
      <c r="AM38" s="156" t="n">
        <v>0</v>
      </c>
      <c r="AN38" s="156" t="n">
        <v>0</v>
      </c>
      <c r="AO38" s="156" t="n">
        <v>0</v>
      </c>
      <c r="AP38" s="156" t="n">
        <v>0</v>
      </c>
      <c r="AQ38" s="156" t="n">
        <v>0</v>
      </c>
      <c r="AR38" s="156" t="n">
        <v>0</v>
      </c>
      <c r="AS38" s="156" t="n">
        <v>0</v>
      </c>
      <c r="AT38" s="156" t="n">
        <v>0</v>
      </c>
      <c r="AU38" s="156" t="n">
        <v>0</v>
      </c>
      <c r="AV38" s="156" t="n">
        <v>0</v>
      </c>
      <c r="AW38" s="156" t="n">
        <v>0</v>
      </c>
      <c r="AX38" s="156" t="n">
        <v>0</v>
      </c>
      <c r="AY38" s="156" t="n">
        <v>0</v>
      </c>
      <c r="AZ38" s="156" t="n">
        <v>0</v>
      </c>
      <c r="BA38" s="156" t="n">
        <v>0</v>
      </c>
      <c r="BB38" s="156" t="n">
        <v>0</v>
      </c>
      <c r="BC38" s="156" t="n">
        <v>0</v>
      </c>
      <c r="BD38" s="156" t="n">
        <v>0</v>
      </c>
      <c r="BE38" s="156" t="n">
        <v>0</v>
      </c>
      <c r="BF38" s="156" t="n">
        <v>0</v>
      </c>
      <c r="BG38" s="156" t="n">
        <v>0</v>
      </c>
      <c r="BH38" s="156" t="n">
        <v>0</v>
      </c>
      <c r="BI38" s="156" t="n">
        <v>0</v>
      </c>
      <c r="BJ38" s="156" t="n">
        <v>0</v>
      </c>
      <c r="BL38" s="157" t="n">
        <v>0</v>
      </c>
      <c r="BM38" s="157" t="n">
        <v>0</v>
      </c>
      <c r="BN38" s="157" t="n">
        <v>0</v>
      </c>
      <c r="BO38" s="157" t="n">
        <v>0</v>
      </c>
      <c r="BP38" s="157" t="n">
        <v>0</v>
      </c>
    </row>
    <row r="39" ht="15" customHeight="1" s="104">
      <c r="A39" s="184" t="inlineStr">
        <is>
          <t xml:space="preserve">      Add-On 10 – Acquired Net Working Capital</t>
        </is>
      </c>
      <c r="C39" s="156" t="n">
        <v>0</v>
      </c>
      <c r="D39" s="156" t="n">
        <v>0</v>
      </c>
      <c r="E39" s="156" t="n">
        <v>0</v>
      </c>
      <c r="F39" s="156" t="n">
        <v>0</v>
      </c>
      <c r="G39" s="156" t="n">
        <v>0</v>
      </c>
      <c r="H39" s="156" t="n">
        <v>0</v>
      </c>
      <c r="I39" s="156" t="n">
        <v>0</v>
      </c>
      <c r="J39" s="156" t="n">
        <v>0</v>
      </c>
      <c r="K39" s="156" t="n">
        <v>0</v>
      </c>
      <c r="L39" s="156" t="n">
        <v>0</v>
      </c>
      <c r="M39" s="156" t="n">
        <v>0</v>
      </c>
      <c r="N39" s="156" t="n">
        <v>0</v>
      </c>
      <c r="O39" s="156" t="n">
        <v>0</v>
      </c>
      <c r="P39" s="156" t="n">
        <v>0</v>
      </c>
      <c r="Q39" s="156" t="n">
        <v>0</v>
      </c>
      <c r="R39" s="156" t="n">
        <v>0</v>
      </c>
      <c r="S39" s="156" t="n">
        <v>0</v>
      </c>
      <c r="T39" s="156" t="n">
        <v>0</v>
      </c>
      <c r="U39" s="156" t="n">
        <v>0</v>
      </c>
      <c r="V39" s="156" t="n">
        <v>0</v>
      </c>
      <c r="W39" s="156" t="n">
        <v>0</v>
      </c>
      <c r="X39" s="156" t="n">
        <v>0</v>
      </c>
      <c r="Y39" s="156" t="n">
        <v>0</v>
      </c>
      <c r="Z39" s="156" t="n">
        <v>0</v>
      </c>
      <c r="AA39" s="156" t="n">
        <v>0</v>
      </c>
      <c r="AB39" s="156" t="n">
        <v>0</v>
      </c>
      <c r="AC39" s="156" t="n">
        <v>0</v>
      </c>
      <c r="AD39" s="156" t="n">
        <v>0</v>
      </c>
      <c r="AE39" s="156" t="n">
        <v>0</v>
      </c>
      <c r="AF39" s="156" t="n">
        <v>0</v>
      </c>
      <c r="AG39" s="156" t="n">
        <v>0</v>
      </c>
      <c r="AH39" s="156" t="n">
        <v>0</v>
      </c>
      <c r="AI39" s="156" t="n">
        <v>0</v>
      </c>
      <c r="AJ39" s="156" t="n">
        <v>0</v>
      </c>
      <c r="AK39" s="156" t="n">
        <v>0</v>
      </c>
      <c r="AL39" s="156" t="n">
        <v>0</v>
      </c>
      <c r="AM39" s="156" t="n">
        <v>0</v>
      </c>
      <c r="AN39" s="156" t="n">
        <v>0</v>
      </c>
      <c r="AO39" s="156" t="n">
        <v>0</v>
      </c>
      <c r="AP39" s="156" t="n">
        <v>0</v>
      </c>
      <c r="AQ39" s="156" t="n">
        <v>0</v>
      </c>
      <c r="AR39" s="156" t="n">
        <v>0</v>
      </c>
      <c r="AS39" s="156" t="n">
        <v>0</v>
      </c>
      <c r="AT39" s="156" t="n">
        <v>0</v>
      </c>
      <c r="AU39" s="156" t="n">
        <v>0</v>
      </c>
      <c r="AV39" s="156" t="n">
        <v>0</v>
      </c>
      <c r="AW39" s="156" t="n">
        <v>0</v>
      </c>
      <c r="AX39" s="156" t="n">
        <v>0</v>
      </c>
      <c r="AY39" s="156" t="n">
        <v>0</v>
      </c>
      <c r="AZ39" s="156" t="n">
        <v>0</v>
      </c>
      <c r="BA39" s="156" t="n">
        <v>0</v>
      </c>
      <c r="BB39" s="156" t="n">
        <v>0</v>
      </c>
      <c r="BC39" s="156" t="n">
        <v>0</v>
      </c>
      <c r="BD39" s="156" t="n">
        <v>0</v>
      </c>
      <c r="BE39" s="156" t="n">
        <v>0</v>
      </c>
      <c r="BF39" s="156" t="n">
        <v>0</v>
      </c>
      <c r="BG39" s="156" t="n">
        <v>0</v>
      </c>
      <c r="BH39" s="156" t="n">
        <v>0</v>
      </c>
      <c r="BI39" s="156" t="n">
        <v>0</v>
      </c>
      <c r="BJ39" s="156" t="n">
        <v>0</v>
      </c>
      <c r="BL39" s="157" t="n">
        <v>0</v>
      </c>
      <c r="BM39" s="157" t="n">
        <v>0</v>
      </c>
      <c r="BN39" s="157" t="n">
        <v>0</v>
      </c>
      <c r="BO39" s="157" t="n">
        <v>0</v>
      </c>
      <c r="BP39" s="157" t="n">
        <v>0</v>
      </c>
    </row>
    <row r="40" ht="15" customHeight="1" s="104">
      <c r="A40" s="185" t="inlineStr">
        <is>
          <t>Cash from Investing</t>
        </is>
      </c>
      <c r="C40" s="186">
        <f>C18+C19+C20+C21+C22+C23+C24+C25+C26+C27+C28+C29+C30+C31+C32+C33+C34+C35+C36+C37+C38+C39</f>
        <v/>
      </c>
      <c r="D40" s="186">
        <f>D18+D19+D20+D21+D22+D23+D24+D25+D26+D27+D28+D29+D30+D31+D32+D33+D34+D35+D36+D37+D38+D39</f>
        <v/>
      </c>
      <c r="E40" s="186">
        <f>E18+E19+E20+E21+E22+E23+E24+E25+E26+E27+E28+E29+E30+E31+E32+E33+E34+E35+E36+E37+E38+E39</f>
        <v/>
      </c>
      <c r="F40" s="186">
        <f>F18+F19+F20+F21+F22+F23+F24+F25+F26+F27+F28+F29+F30+F31+F32+F33+F34+F35+F36+F37+F38+F39</f>
        <v/>
      </c>
      <c r="G40" s="186">
        <f>G18+G19+G20+G21+G22+G23+G24+G25+G26+G27+G28+G29+G30+G31+G32+G33+G34+G35+G36+G37+G38+G39</f>
        <v/>
      </c>
      <c r="H40" s="186">
        <f>H18+H19+H20+H21+H22+H23+H24+H25+H26+H27+H28+H29+H30+H31+H32+H33+H34+H35+H36+H37+H38+H39</f>
        <v/>
      </c>
      <c r="I40" s="186">
        <f>I18+I19+I20+I21+I22+I23+I24+I25+I26+I27+I28+I29+I30+I31+I32+I33+I34+I35+I36+I37+I38+I39</f>
        <v/>
      </c>
      <c r="J40" s="186">
        <f>J18+J19+J20+J21+J22+J23+J24+J25+J26+J27+J28+J29+J30+J31+J32+J33+J34+J35+J36+J37+J38+J39</f>
        <v/>
      </c>
      <c r="K40" s="186">
        <f>K18+K19+K20+K21+K22+K23+K24+K25+K26+K27+K28+K29+K30+K31+K32+K33+K34+K35+K36+K37+K38+K39</f>
        <v/>
      </c>
      <c r="L40" s="186">
        <f>L18+L19+L20+L21+L22+L23+L24+L25+L26+L27+L28+L29+L30+L31+L32+L33+L34+L35+L36+L37+L38+L39</f>
        <v/>
      </c>
      <c r="M40" s="186">
        <f>M18+M19+M20+M21+M22+M23+M24+M25+M26+M27+M28+M29+M30+M31+M32+M33+M34+M35+M36+M37+M38+M39</f>
        <v/>
      </c>
      <c r="N40" s="186">
        <f>N18+N19+N20+N21+N22+N23+N24+N25+N26+N27+N28+N29+N30+N31+N32+N33+N34+N35+N36+N37+N38+N39</f>
        <v/>
      </c>
      <c r="O40" s="186">
        <f>O18+O19+O20+O21+O22+O23+O24+O25+O26+O27+O28+O29+O30+O31+O32+O33+O34+O35+O36+O37+O38+O39</f>
        <v/>
      </c>
      <c r="P40" s="186">
        <f>P18+P19+P20+P21+P22+P23+P24+P25+P26+P27+P28+P29+P30+P31+P32+P33+P34+P35+P36+P37+P38+P39</f>
        <v/>
      </c>
      <c r="Q40" s="186">
        <f>Q18+Q19+Q20+Q21+Q22+Q23+Q24+Q25+Q26+Q27+Q28+Q29+Q30+Q31+Q32+Q33+Q34+Q35+Q36+Q37+Q38+Q39</f>
        <v/>
      </c>
      <c r="R40" s="186">
        <f>R18+R19+R20+R21+R22+R23+R24+R25+R26+R27+R28+R29+R30+R31+R32+R33+R34+R35+R36+R37+R38+R39</f>
        <v/>
      </c>
      <c r="S40" s="186">
        <f>S18+S19+S20+S21+S22+S23+S24+S25+S26+S27+S28+S29+S30+S31+S32+S33+S34+S35+S36+S37+S38+S39</f>
        <v/>
      </c>
      <c r="T40" s="186">
        <f>T18+T19+T20+T21+T22+T23+T24+T25+T26+T27+T28+T29+T30+T31+T32+T33+T34+T35+T36+T37+T38+T39</f>
        <v/>
      </c>
      <c r="U40" s="186">
        <f>U18+U19+U20+U21+U22+U23+U24+U25+U26+U27+U28+U29+U30+U31+U32+U33+U34+U35+U36+U37+U38+U39</f>
        <v/>
      </c>
      <c r="V40" s="186">
        <f>V18+V19+V20+V21+V22+V23+V24+V25+V26+V27+V28+V29+V30+V31+V32+V33+V34+V35+V36+V37+V38+V39</f>
        <v/>
      </c>
      <c r="W40" s="186">
        <f>W18+W19+W20+W21+W22+W23+W24+W25+W26+W27+W28+W29+W30+W31+W32+W33+W34+W35+W36+W37+W38+W39</f>
        <v/>
      </c>
      <c r="X40" s="186">
        <f>X18+X19+X20+X21+X22+X23+X24+X25+X26+X27+X28+X29+X30+X31+X32+X33+X34+X35+X36+X37+X38+X39</f>
        <v/>
      </c>
      <c r="Y40" s="186">
        <f>Y18+Y19+Y20+Y21+Y22+Y23+Y24+Y25+Y26+Y27+Y28+Y29+Y30+Y31+Y32+Y33+Y34+Y35+Y36+Y37+Y38+Y39</f>
        <v/>
      </c>
      <c r="Z40" s="186">
        <f>Z18+Z19+Z20+Z21+Z22+Z23+Z24+Z25+Z26+Z27+Z28+Z29+Z30+Z31+Z32+Z33+Z34+Z35+Z36+Z37+Z38+Z39</f>
        <v/>
      </c>
      <c r="AA40" s="186">
        <f>AA18+AA19+AA20+AA21+AA22+AA23+AA24+AA25+AA26+AA27+AA28+AA29+AA30+AA31+AA32+AA33+AA34+AA35+AA36+AA37+AA38+AA39</f>
        <v/>
      </c>
      <c r="AB40" s="186">
        <f>AB18+AB19+AB20+AB21+AB22+AB23+AB24+AB25+AB26+AB27+AB28+AB29+AB30+AB31+AB32+AB33+AB34+AB35+AB36+AB37+AB38+AB39</f>
        <v/>
      </c>
      <c r="AC40" s="186">
        <f>AC18+AC19+AC20+AC21+AC22+AC23+AC24+AC25+AC26+AC27+AC28+AC29+AC30+AC31+AC32+AC33+AC34+AC35+AC36+AC37+AC38+AC39</f>
        <v/>
      </c>
      <c r="AD40" s="186">
        <f>AD18+AD19+AD20+AD21+AD22+AD23+AD24+AD25+AD26+AD27+AD28+AD29+AD30+AD31+AD32+AD33+AD34+AD35+AD36+AD37+AD38+AD39</f>
        <v/>
      </c>
      <c r="AE40" s="186">
        <f>AE18+AE19+AE20+AE21+AE22+AE23+AE24+AE25+AE26+AE27+AE28+AE29+AE30+AE31+AE32+AE33+AE34+AE35+AE36+AE37+AE38+AE39</f>
        <v/>
      </c>
      <c r="AF40" s="186">
        <f>AF18+AF19+AF20+AF21+AF22+AF23+AF24+AF25+AF26+AF27+AF28+AF29+AF30+AF31+AF32+AF33+AF34+AF35+AF36+AF37+AF38+AF39</f>
        <v/>
      </c>
      <c r="AG40" s="186">
        <f>AG18+AG19+AG20+AG21+AG22+AG23+AG24+AG25+AG26+AG27+AG28+AG29+AG30+AG31+AG32+AG33+AG34+AG35+AG36+AG37+AG38+AG39</f>
        <v/>
      </c>
      <c r="AH40" s="186">
        <f>AH18+AH19+AH20+AH21+AH22+AH23+AH24+AH25+AH26+AH27+AH28+AH29+AH30+AH31+AH32+AH33+AH34+AH35+AH36+AH37+AH38+AH39</f>
        <v/>
      </c>
      <c r="AI40" s="186">
        <f>AI18+AI19+AI20+AI21+AI22+AI23+AI24+AI25+AI26+AI27+AI28+AI29+AI30+AI31+AI32+AI33+AI34+AI35+AI36+AI37+AI38+AI39</f>
        <v/>
      </c>
      <c r="AJ40" s="186">
        <f>AJ18+AJ19+AJ20+AJ21+AJ22+AJ23+AJ24+AJ25+AJ26+AJ27+AJ28+AJ29+AJ30+AJ31+AJ32+AJ33+AJ34+AJ35+AJ36+AJ37+AJ38+AJ39</f>
        <v/>
      </c>
      <c r="AK40" s="186">
        <f>AK18+AK19+AK20+AK21+AK22+AK23+AK24+AK25+AK26+AK27+AK28+AK29+AK30+AK31+AK32+AK33+AK34+AK35+AK36+AK37+AK38+AK39</f>
        <v/>
      </c>
      <c r="AL40" s="186">
        <f>AL18+AL19+AL20+AL21+AL22+AL23+AL24+AL25+AL26+AL27+AL28+AL29+AL30+AL31+AL32+AL33+AL34+AL35+AL36+AL37+AL38+AL39</f>
        <v/>
      </c>
      <c r="AM40" s="186">
        <f>AM18+AM19+AM20+AM21+AM22+AM23+AM24+AM25+AM26+AM27+AM28+AM29+AM30+AM31+AM32+AM33+AM34+AM35+AM36+AM37+AM38+AM39</f>
        <v/>
      </c>
      <c r="AN40" s="186">
        <f>AN18+AN19+AN20+AN21+AN22+AN23+AN24+AN25+AN26+AN27+AN28+AN29+AN30+AN31+AN32+AN33+AN34+AN35+AN36+AN37+AN38+AN39</f>
        <v/>
      </c>
      <c r="AO40" s="186">
        <f>AO18+AO19+AO20+AO21+AO22+AO23+AO24+AO25+AO26+AO27+AO28+AO29+AO30+AO31+AO32+AO33+AO34+AO35+AO36+AO37+AO38+AO39</f>
        <v/>
      </c>
      <c r="AP40" s="186">
        <f>AP18+AP19+AP20+AP21+AP22+AP23+AP24+AP25+AP26+AP27+AP28+AP29+AP30+AP31+AP32+AP33+AP34+AP35+AP36+AP37+AP38+AP39</f>
        <v/>
      </c>
      <c r="AQ40" s="186">
        <f>AQ18+AQ19+AQ20+AQ21+AQ22+AQ23+AQ24+AQ25+AQ26+AQ27+AQ28+AQ29+AQ30+AQ31+AQ32+AQ33+AQ34+AQ35+AQ36+AQ37+AQ38+AQ39</f>
        <v/>
      </c>
      <c r="AR40" s="186">
        <f>AR18+AR19+AR20+AR21+AR22+AR23+AR24+AR25+AR26+AR27+AR28+AR29+AR30+AR31+AR32+AR33+AR34+AR35+AR36+AR37+AR38+AR39</f>
        <v/>
      </c>
      <c r="AS40" s="186">
        <f>AS18+AS19+AS20+AS21+AS22+AS23+AS24+AS25+AS26+AS27+AS28+AS29+AS30+AS31+AS32+AS33+AS34+AS35+AS36+AS37+AS38+AS39</f>
        <v/>
      </c>
      <c r="AT40" s="186">
        <f>AT18+AT19+AT20+AT21+AT22+AT23+AT24+AT25+AT26+AT27+AT28+AT29+AT30+AT31+AT32+AT33+AT34+AT35+AT36+AT37+AT38+AT39</f>
        <v/>
      </c>
      <c r="AU40" s="186">
        <f>AU18+AU19+AU20+AU21+AU22+AU23+AU24+AU25+AU26+AU27+AU28+AU29+AU30+AU31+AU32+AU33+AU34+AU35+AU36+AU37+AU38+AU39</f>
        <v/>
      </c>
      <c r="AV40" s="186">
        <f>AV18+AV19+AV20+AV21+AV22+AV23+AV24+AV25+AV26+AV27+AV28+AV29+AV30+AV31+AV32+AV33+AV34+AV35+AV36+AV37+AV38+AV39</f>
        <v/>
      </c>
      <c r="AW40" s="186">
        <f>AW18+AW19+AW20+AW21+AW22+AW23+AW24+AW25+AW26+AW27+AW28+AW29+AW30+AW31+AW32+AW33+AW34+AW35+AW36+AW37+AW38+AW39</f>
        <v/>
      </c>
      <c r="AX40" s="186">
        <f>AX18+AX19+AX20+AX21+AX22+AX23+AX24+AX25+AX26+AX27+AX28+AX29+AX30+AX31+AX32+AX33+AX34+AX35+AX36+AX37+AX38+AX39</f>
        <v/>
      </c>
      <c r="AY40" s="186">
        <f>AY18+AY19+AY20+AY21+AY22+AY23+AY24+AY25+AY26+AY27+AY28+AY29+AY30+AY31+AY32+AY33+AY34+AY35+AY36+AY37+AY38+AY39</f>
        <v/>
      </c>
      <c r="AZ40" s="186">
        <f>AZ18+AZ19+AZ20+AZ21+AZ22+AZ23+AZ24+AZ25+AZ26+AZ27+AZ28+AZ29+AZ30+AZ31+AZ32+AZ33+AZ34+AZ35+AZ36+AZ37+AZ38+AZ39</f>
        <v/>
      </c>
      <c r="BA40" s="186">
        <f>BA18+BA19+BA20+BA21+BA22+BA23+BA24+BA25+BA26+BA27+BA28+BA29+BA30+BA31+BA32+BA33+BA34+BA35+BA36+BA37+BA38+BA39</f>
        <v/>
      </c>
      <c r="BB40" s="186">
        <f>BB18+BB19+BB20+BB21+BB22+BB23+BB24+BB25+BB26+BB27+BB28+BB29+BB30+BB31+BB32+BB33+BB34+BB35+BB36+BB37+BB38+BB39</f>
        <v/>
      </c>
      <c r="BC40" s="186">
        <f>BC18+BC19+BC20+BC21+BC22+BC23+BC24+BC25+BC26+BC27+BC28+BC29+BC30+BC31+BC32+BC33+BC34+BC35+BC36+BC37+BC38+BC39</f>
        <v/>
      </c>
      <c r="BD40" s="186">
        <f>BD18+BD19+BD20+BD21+BD22+BD23+BD24+BD25+BD26+BD27+BD28+BD29+BD30+BD31+BD32+BD33+BD34+BD35+BD36+BD37+BD38+BD39</f>
        <v/>
      </c>
      <c r="BE40" s="186">
        <f>BE18+BE19+BE20+BE21+BE22+BE23+BE24+BE25+BE26+BE27+BE28+BE29+BE30+BE31+BE32+BE33+BE34+BE35+BE36+BE37+BE38+BE39</f>
        <v/>
      </c>
      <c r="BF40" s="186">
        <f>BF18+BF19+BF20+BF21+BF22+BF23+BF24+BF25+BF26+BF27+BF28+BF29+BF30+BF31+BF32+BF33+BF34+BF35+BF36+BF37+BF38+BF39</f>
        <v/>
      </c>
      <c r="BG40" s="186">
        <f>BG18+BG19+BG20+BG21+BG22+BG23+BG24+BG25+BG26+BG27+BG28+BG29+BG30+BG31+BG32+BG33+BG34+BG35+BG36+BG37+BG38+BG39</f>
        <v/>
      </c>
      <c r="BH40" s="186">
        <f>BH18+BH19+BH20+BH21+BH22+BH23+BH24+BH25+BH26+BH27+BH28+BH29+BH30+BH31+BH32+BH33+BH34+BH35+BH36+BH37+BH38+BH39</f>
        <v/>
      </c>
      <c r="BI40" s="186">
        <f>BI18+BI19+BI20+BI21+BI22+BI23+BI24+BI25+BI26+BI27+BI28+BI29+BI30+BI31+BI32+BI33+BI34+BI35+BI36+BI37+BI38+BI39</f>
        <v/>
      </c>
      <c r="BJ40" s="186">
        <f>BJ18+BJ19+BJ20+BJ21+BJ22+BJ23+BJ24+BJ25+BJ26+BJ27+BJ28+BJ29+BJ30+BJ31+BJ32+BJ33+BJ34+BJ35+BJ36+BJ37+BJ38+BJ39</f>
        <v/>
      </c>
      <c r="BL40" s="186">
        <f>C40+D40+E40+F40+G40+H40+I40+J40+K40+L40+M40+N40</f>
        <v/>
      </c>
      <c r="BM40" s="186">
        <f>O40+P40+Q40+R40+S40+T40+U40+V40+W40+X40+Y40+Z40</f>
        <v/>
      </c>
      <c r="BN40" s="186">
        <f>AA40+AB40+AC40+AD40+AE40+AF40+AG40+AH40+AI40+AJ40+AK40+AL40</f>
        <v/>
      </c>
      <c r="BO40" s="186">
        <f>AM40+AN40+AO40+AP40+AQ40+AR40+AS40+AT40+AU40+AV40+AW40+AX40</f>
        <v/>
      </c>
      <c r="BP40" s="186">
        <f>AY40+AZ40+BA40+BB40+BC40+BD40+BE40+BF40+BG40+BH40+BI40+BJ40</f>
        <v/>
      </c>
    </row>
    <row r="41" ht="15" customHeight="1" s="104"/>
    <row r="42" ht="15" customHeight="1" s="104">
      <c r="A42" s="106" t="inlineStr">
        <is>
          <t>FINANCING ACTIVITIES</t>
        </is>
      </c>
    </row>
    <row r="43" ht="15" customHeight="1" s="104">
      <c r="A43" s="107" t="inlineStr">
        <is>
          <t xml:space="preserve">    Platform Equity Contribution</t>
        </is>
      </c>
      <c r="C43" s="156">
        <f>((Assumptions!B5*Assumptions!B6*Assumptions!B7)+((Assumptions!B5*Assumptions!B6*Assumptions!B7)*Assumptions!B11))-'Debt Schedule'!C6+Assumptions!B12</f>
        <v/>
      </c>
      <c r="D43" s="156">
        <f>0</f>
        <v/>
      </c>
      <c r="E43" s="156">
        <f>0</f>
        <v/>
      </c>
      <c r="F43" s="156">
        <f>0</f>
        <v/>
      </c>
      <c r="G43" s="156">
        <f>0</f>
        <v/>
      </c>
      <c r="H43" s="156">
        <f>0</f>
        <v/>
      </c>
      <c r="I43" s="156">
        <f>0</f>
        <v/>
      </c>
      <c r="J43" s="156">
        <f>0</f>
        <v/>
      </c>
      <c r="K43" s="156">
        <f>0</f>
        <v/>
      </c>
      <c r="L43" s="156">
        <f>0</f>
        <v/>
      </c>
      <c r="M43" s="156">
        <f>0</f>
        <v/>
      </c>
      <c r="N43" s="156">
        <f>0</f>
        <v/>
      </c>
      <c r="O43" s="156">
        <f>0</f>
        <v/>
      </c>
      <c r="P43" s="156">
        <f>0</f>
        <v/>
      </c>
      <c r="Q43" s="156">
        <f>0</f>
        <v/>
      </c>
      <c r="R43" s="156">
        <f>0</f>
        <v/>
      </c>
      <c r="S43" s="156">
        <f>0</f>
        <v/>
      </c>
      <c r="T43" s="156">
        <f>0</f>
        <v/>
      </c>
      <c r="U43" s="156">
        <f>0</f>
        <v/>
      </c>
      <c r="V43" s="156">
        <f>0</f>
        <v/>
      </c>
      <c r="W43" s="156">
        <f>0</f>
        <v/>
      </c>
      <c r="X43" s="156">
        <f>0</f>
        <v/>
      </c>
      <c r="Y43" s="156">
        <f>0</f>
        <v/>
      </c>
      <c r="Z43" s="156">
        <f>0</f>
        <v/>
      </c>
      <c r="AA43" s="156">
        <f>0</f>
        <v/>
      </c>
      <c r="AB43" s="156">
        <f>0</f>
        <v/>
      </c>
      <c r="AC43" s="156">
        <f>0</f>
        <v/>
      </c>
      <c r="AD43" s="156">
        <f>0</f>
        <v/>
      </c>
      <c r="AE43" s="156">
        <f>0</f>
        <v/>
      </c>
      <c r="AF43" s="156">
        <f>0</f>
        <v/>
      </c>
      <c r="AG43" s="156">
        <f>0</f>
        <v/>
      </c>
      <c r="AH43" s="156">
        <f>0</f>
        <v/>
      </c>
      <c r="AI43" s="156">
        <f>0</f>
        <v/>
      </c>
      <c r="AJ43" s="156">
        <f>0</f>
        <v/>
      </c>
      <c r="AK43" s="156">
        <f>0</f>
        <v/>
      </c>
      <c r="AL43" s="156">
        <f>0</f>
        <v/>
      </c>
      <c r="AM43" s="156">
        <f>0</f>
        <v/>
      </c>
      <c r="AN43" s="156">
        <f>0</f>
        <v/>
      </c>
      <c r="AO43" s="156">
        <f>0</f>
        <v/>
      </c>
      <c r="AP43" s="156">
        <f>0</f>
        <v/>
      </c>
      <c r="AQ43" s="156">
        <f>0</f>
        <v/>
      </c>
      <c r="AR43" s="156">
        <f>0</f>
        <v/>
      </c>
      <c r="AS43" s="156">
        <f>0</f>
        <v/>
      </c>
      <c r="AT43" s="156">
        <f>0</f>
        <v/>
      </c>
      <c r="AU43" s="156">
        <f>0</f>
        <v/>
      </c>
      <c r="AV43" s="156">
        <f>0</f>
        <v/>
      </c>
      <c r="AW43" s="156">
        <f>0</f>
        <v/>
      </c>
      <c r="AX43" s="156">
        <f>0</f>
        <v/>
      </c>
      <c r="AY43" s="156">
        <f>0</f>
        <v/>
      </c>
      <c r="AZ43" s="156">
        <f>0</f>
        <v/>
      </c>
      <c r="BA43" s="156">
        <f>0</f>
        <v/>
      </c>
      <c r="BB43" s="156">
        <f>0</f>
        <v/>
      </c>
      <c r="BC43" s="156">
        <f>0</f>
        <v/>
      </c>
      <c r="BD43" s="156">
        <f>0</f>
        <v/>
      </c>
      <c r="BE43" s="156">
        <f>0</f>
        <v/>
      </c>
      <c r="BF43" s="156">
        <f>0</f>
        <v/>
      </c>
      <c r="BG43" s="156">
        <f>0</f>
        <v/>
      </c>
      <c r="BH43" s="156">
        <f>0</f>
        <v/>
      </c>
      <c r="BI43" s="156">
        <f>0</f>
        <v/>
      </c>
      <c r="BJ43" s="156">
        <f>0</f>
        <v/>
      </c>
      <c r="BL43" s="157">
        <f>C32+D32+E32+F32+G32+H32+I32+J32+K32+L32+M32+N32</f>
        <v/>
      </c>
      <c r="BM43" s="157">
        <f>O32+P32+Q32+R32+S32+T32+U32+V32+W32+X32+Y32+Z32</f>
        <v/>
      </c>
      <c r="BN43" s="157">
        <f>AA32+AB32+AC32+AD32+AE32+AF32+AG32+AH32+AI32+AJ32+AK32+AL32</f>
        <v/>
      </c>
      <c r="BO43" s="157">
        <f>AM32+AN32+AO32+AP32+AQ32+AR32+AS32+AT32+AU32+AV32+AW32+AX32</f>
        <v/>
      </c>
      <c r="BP43" s="157">
        <f>AY32+AZ32+BA32+BB32+BC32+BD32+BE32+BF32+BG32+BH32+BI32+BJ32</f>
        <v/>
      </c>
    </row>
    <row r="44" ht="15" customHeight="1" s="104">
      <c r="A44" s="107" t="inlineStr">
        <is>
          <t xml:space="preserve">    Platform Debt Draw</t>
        </is>
      </c>
      <c r="C44" s="156">
        <f>'Debt Schedule'!C6</f>
        <v/>
      </c>
      <c r="D44" s="156">
        <f>'Debt Schedule'!D6</f>
        <v/>
      </c>
      <c r="E44" s="156">
        <f>'Debt Schedule'!E6</f>
        <v/>
      </c>
      <c r="F44" s="156">
        <f>'Debt Schedule'!F6</f>
        <v/>
      </c>
      <c r="G44" s="156">
        <f>'Debt Schedule'!G6</f>
        <v/>
      </c>
      <c r="H44" s="156">
        <f>'Debt Schedule'!H6</f>
        <v/>
      </c>
      <c r="I44" s="156">
        <f>'Debt Schedule'!I6</f>
        <v/>
      </c>
      <c r="J44" s="156">
        <f>'Debt Schedule'!J6</f>
        <v/>
      </c>
      <c r="K44" s="156">
        <f>'Debt Schedule'!K6</f>
        <v/>
      </c>
      <c r="L44" s="156">
        <f>'Debt Schedule'!L6</f>
        <v/>
      </c>
      <c r="M44" s="156">
        <f>'Debt Schedule'!M6</f>
        <v/>
      </c>
      <c r="N44" s="156">
        <f>'Debt Schedule'!N6</f>
        <v/>
      </c>
      <c r="O44" s="156">
        <f>'Debt Schedule'!O6</f>
        <v/>
      </c>
      <c r="P44" s="156">
        <f>'Debt Schedule'!P6</f>
        <v/>
      </c>
      <c r="Q44" s="156">
        <f>'Debt Schedule'!Q6</f>
        <v/>
      </c>
      <c r="R44" s="156">
        <f>'Debt Schedule'!R6</f>
        <v/>
      </c>
      <c r="S44" s="156">
        <f>'Debt Schedule'!S6</f>
        <v/>
      </c>
      <c r="T44" s="156">
        <f>'Debt Schedule'!T6</f>
        <v/>
      </c>
      <c r="U44" s="156">
        <f>'Debt Schedule'!U6</f>
        <v/>
      </c>
      <c r="V44" s="156">
        <f>'Debt Schedule'!V6</f>
        <v/>
      </c>
      <c r="W44" s="156">
        <f>'Debt Schedule'!W6</f>
        <v/>
      </c>
      <c r="X44" s="156">
        <f>'Debt Schedule'!X6</f>
        <v/>
      </c>
      <c r="Y44" s="156">
        <f>'Debt Schedule'!Y6</f>
        <v/>
      </c>
      <c r="Z44" s="156">
        <f>'Debt Schedule'!Z6</f>
        <v/>
      </c>
      <c r="AA44" s="156">
        <f>'Debt Schedule'!AA6</f>
        <v/>
      </c>
      <c r="AB44" s="156">
        <f>'Debt Schedule'!AB6</f>
        <v/>
      </c>
      <c r="AC44" s="156">
        <f>'Debt Schedule'!AC6</f>
        <v/>
      </c>
      <c r="AD44" s="156">
        <f>'Debt Schedule'!AD6</f>
        <v/>
      </c>
      <c r="AE44" s="156">
        <f>'Debt Schedule'!AE6</f>
        <v/>
      </c>
      <c r="AF44" s="156">
        <f>'Debt Schedule'!AF6</f>
        <v/>
      </c>
      <c r="AG44" s="156">
        <f>'Debt Schedule'!AG6</f>
        <v/>
      </c>
      <c r="AH44" s="156">
        <f>'Debt Schedule'!AH6</f>
        <v/>
      </c>
      <c r="AI44" s="156">
        <f>'Debt Schedule'!AI6</f>
        <v/>
      </c>
      <c r="AJ44" s="156">
        <f>'Debt Schedule'!AJ6</f>
        <v/>
      </c>
      <c r="AK44" s="156">
        <f>'Debt Schedule'!AK6</f>
        <v/>
      </c>
      <c r="AL44" s="156">
        <f>'Debt Schedule'!AL6</f>
        <v/>
      </c>
      <c r="AM44" s="156">
        <f>'Debt Schedule'!AM6</f>
        <v/>
      </c>
      <c r="AN44" s="156">
        <f>'Debt Schedule'!AN6</f>
        <v/>
      </c>
      <c r="AO44" s="156">
        <f>'Debt Schedule'!AO6</f>
        <v/>
      </c>
      <c r="AP44" s="156">
        <f>'Debt Schedule'!AP6</f>
        <v/>
      </c>
      <c r="AQ44" s="156">
        <f>'Debt Schedule'!AQ6</f>
        <v/>
      </c>
      <c r="AR44" s="156">
        <f>'Debt Schedule'!AR6</f>
        <v/>
      </c>
      <c r="AS44" s="156">
        <f>'Debt Schedule'!AS6</f>
        <v/>
      </c>
      <c r="AT44" s="156">
        <f>'Debt Schedule'!AT6</f>
        <v/>
      </c>
      <c r="AU44" s="156">
        <f>'Debt Schedule'!AU6</f>
        <v/>
      </c>
      <c r="AV44" s="156">
        <f>'Debt Schedule'!AV6</f>
        <v/>
      </c>
      <c r="AW44" s="156">
        <f>'Debt Schedule'!AW6</f>
        <v/>
      </c>
      <c r="AX44" s="156">
        <f>'Debt Schedule'!AX6</f>
        <v/>
      </c>
      <c r="AY44" s="156">
        <f>'Debt Schedule'!AY6</f>
        <v/>
      </c>
      <c r="AZ44" s="156">
        <f>'Debt Schedule'!AZ6</f>
        <v/>
      </c>
      <c r="BA44" s="156">
        <f>'Debt Schedule'!BA6</f>
        <v/>
      </c>
      <c r="BB44" s="156">
        <f>'Debt Schedule'!BB6</f>
        <v/>
      </c>
      <c r="BC44" s="156">
        <f>'Debt Schedule'!BC6</f>
        <v/>
      </c>
      <c r="BD44" s="156">
        <f>'Debt Schedule'!BD6</f>
        <v/>
      </c>
      <c r="BE44" s="156">
        <f>'Debt Schedule'!BE6</f>
        <v/>
      </c>
      <c r="BF44" s="156">
        <f>'Debt Schedule'!BF6</f>
        <v/>
      </c>
      <c r="BG44" s="156">
        <f>'Debt Schedule'!BG6</f>
        <v/>
      </c>
      <c r="BH44" s="156">
        <f>'Debt Schedule'!BH6</f>
        <v/>
      </c>
      <c r="BI44" s="156">
        <f>'Debt Schedule'!BI6</f>
        <v/>
      </c>
      <c r="BJ44" s="156">
        <f>'Debt Schedule'!BJ6</f>
        <v/>
      </c>
      <c r="BL44" s="157">
        <f>C33+D33+E33+F33+G33+H33+I33+J33+K33+L33+M33+N33</f>
        <v/>
      </c>
      <c r="BM44" s="157">
        <f>O33+P33+Q33+R33+S33+T33+U33+V33+W33+X33+Y33+Z33</f>
        <v/>
      </c>
      <c r="BN44" s="157">
        <f>AA33+AB33+AC33+AD33+AE33+AF33+AG33+AH33+AI33+AJ33+AK33+AL33</f>
        <v/>
      </c>
      <c r="BO44" s="157">
        <f>AM33+AN33+AO33+AP33+AQ33+AR33+AS33+AT33+AU33+AV33+AW33+AX33</f>
        <v/>
      </c>
      <c r="BP44" s="157">
        <f>AY33+AZ33+BA33+BB33+BC33+BD33+BE33+BF33+BG33+BH33+BI33+BJ33</f>
        <v/>
      </c>
    </row>
    <row r="45" ht="15" customHeight="1" s="104">
      <c r="A45" s="107" t="inlineStr">
        <is>
          <t xml:space="preserve">    Add-On Debt Draws</t>
        </is>
      </c>
      <c r="C45" s="156">
        <f>'Debt Schedule'!C7+'Debt Schedule'!C8+'Debt Schedule'!C9+'Debt Schedule'!C10+'Debt Schedule'!C11+'Debt Schedule'!C12+'Debt Schedule'!C13+'Debt Schedule'!C14+'Debt Schedule'!C15+'Debt Schedule'!C16</f>
        <v/>
      </c>
      <c r="D45" s="156">
        <f>'Debt Schedule'!D7+'Debt Schedule'!D8+'Debt Schedule'!D9+'Debt Schedule'!D10+'Debt Schedule'!D11+'Debt Schedule'!D12+'Debt Schedule'!D13+'Debt Schedule'!D14+'Debt Schedule'!D15+'Debt Schedule'!D16</f>
        <v/>
      </c>
      <c r="E45" s="156">
        <f>'Debt Schedule'!E7+'Debt Schedule'!E8+'Debt Schedule'!E9+'Debt Schedule'!E10+'Debt Schedule'!E11+'Debt Schedule'!E12+'Debt Schedule'!E13+'Debt Schedule'!E14+'Debt Schedule'!E15+'Debt Schedule'!E16</f>
        <v/>
      </c>
      <c r="F45" s="156">
        <f>'Debt Schedule'!F7+'Debt Schedule'!F8+'Debt Schedule'!F9+'Debt Schedule'!F10+'Debt Schedule'!F11+'Debt Schedule'!F12+'Debt Schedule'!F13+'Debt Schedule'!F14+'Debt Schedule'!F15+'Debt Schedule'!F16</f>
        <v/>
      </c>
      <c r="G45" s="156">
        <f>'Debt Schedule'!G7+'Debt Schedule'!G8+'Debt Schedule'!G9+'Debt Schedule'!G10+'Debt Schedule'!G11+'Debt Schedule'!G12+'Debt Schedule'!G13+'Debt Schedule'!G14+'Debt Schedule'!G15+'Debt Schedule'!G16</f>
        <v/>
      </c>
      <c r="H45" s="156">
        <f>'Debt Schedule'!H7+'Debt Schedule'!H8+'Debt Schedule'!H9+'Debt Schedule'!H10+'Debt Schedule'!H11+'Debt Schedule'!H12+'Debt Schedule'!H13+'Debt Schedule'!H14+'Debt Schedule'!H15+'Debt Schedule'!H16</f>
        <v/>
      </c>
      <c r="I45" s="156">
        <f>'Debt Schedule'!I7+'Debt Schedule'!I8+'Debt Schedule'!I9+'Debt Schedule'!I10+'Debt Schedule'!I11+'Debt Schedule'!I12+'Debt Schedule'!I13+'Debt Schedule'!I14+'Debt Schedule'!I15+'Debt Schedule'!I16</f>
        <v/>
      </c>
      <c r="J45" s="156">
        <f>'Debt Schedule'!J7+'Debt Schedule'!J8+'Debt Schedule'!J9+'Debt Schedule'!J10+'Debt Schedule'!J11+'Debt Schedule'!J12+'Debt Schedule'!J13+'Debt Schedule'!J14+'Debt Schedule'!J15+'Debt Schedule'!J16</f>
        <v/>
      </c>
      <c r="K45" s="156">
        <f>'Debt Schedule'!K7+'Debt Schedule'!K8+'Debt Schedule'!K9+'Debt Schedule'!K10+'Debt Schedule'!K11+'Debt Schedule'!K12+'Debt Schedule'!K13+'Debt Schedule'!K14+'Debt Schedule'!K15+'Debt Schedule'!K16</f>
        <v/>
      </c>
      <c r="L45" s="156">
        <f>'Debt Schedule'!L7+'Debt Schedule'!L8+'Debt Schedule'!L9+'Debt Schedule'!L10+'Debt Schedule'!L11+'Debt Schedule'!L12+'Debt Schedule'!L13+'Debt Schedule'!L14+'Debt Schedule'!L15+'Debt Schedule'!L16</f>
        <v/>
      </c>
      <c r="M45" s="156">
        <f>'Debt Schedule'!M7+'Debt Schedule'!M8+'Debt Schedule'!M9+'Debt Schedule'!M10+'Debt Schedule'!M11+'Debt Schedule'!M12+'Debt Schedule'!M13+'Debt Schedule'!M14+'Debt Schedule'!M15+'Debt Schedule'!M16</f>
        <v/>
      </c>
      <c r="N45" s="156">
        <f>'Debt Schedule'!N7+'Debt Schedule'!N8+'Debt Schedule'!N9+'Debt Schedule'!N10+'Debt Schedule'!N11+'Debt Schedule'!N12+'Debt Schedule'!N13+'Debt Schedule'!N14+'Debt Schedule'!N15+'Debt Schedule'!N16</f>
        <v/>
      </c>
      <c r="O45" s="156">
        <f>'Debt Schedule'!O7+'Debt Schedule'!O8+'Debt Schedule'!O9+'Debt Schedule'!O10+'Debt Schedule'!O11+'Debt Schedule'!O12+'Debt Schedule'!O13+'Debt Schedule'!O14+'Debt Schedule'!O15+'Debt Schedule'!O16</f>
        <v/>
      </c>
      <c r="P45" s="156">
        <f>'Debt Schedule'!P7+'Debt Schedule'!P8+'Debt Schedule'!P9+'Debt Schedule'!P10+'Debt Schedule'!P11+'Debt Schedule'!P12+'Debt Schedule'!P13+'Debt Schedule'!P14+'Debt Schedule'!P15+'Debt Schedule'!P16</f>
        <v/>
      </c>
      <c r="Q45" s="156">
        <f>'Debt Schedule'!Q7+'Debt Schedule'!Q8+'Debt Schedule'!Q9+'Debt Schedule'!Q10+'Debt Schedule'!Q11+'Debt Schedule'!Q12+'Debt Schedule'!Q13+'Debt Schedule'!Q14+'Debt Schedule'!Q15+'Debt Schedule'!Q16</f>
        <v/>
      </c>
      <c r="R45" s="156">
        <f>'Debt Schedule'!R7+'Debt Schedule'!R8+'Debt Schedule'!R9+'Debt Schedule'!R10+'Debt Schedule'!R11+'Debt Schedule'!R12+'Debt Schedule'!R13+'Debt Schedule'!R14+'Debt Schedule'!R15+'Debt Schedule'!R16</f>
        <v/>
      </c>
      <c r="S45" s="156">
        <f>'Debt Schedule'!S7+'Debt Schedule'!S8+'Debt Schedule'!S9+'Debt Schedule'!S10+'Debt Schedule'!S11+'Debt Schedule'!S12+'Debt Schedule'!S13+'Debt Schedule'!S14+'Debt Schedule'!S15+'Debt Schedule'!S16</f>
        <v/>
      </c>
      <c r="T45" s="156">
        <f>'Debt Schedule'!T7+'Debt Schedule'!T8+'Debt Schedule'!T9+'Debt Schedule'!T10+'Debt Schedule'!T11+'Debt Schedule'!T12+'Debt Schedule'!T13+'Debt Schedule'!T14+'Debt Schedule'!T15+'Debt Schedule'!T16</f>
        <v/>
      </c>
      <c r="U45" s="156">
        <f>'Debt Schedule'!U7+'Debt Schedule'!U8+'Debt Schedule'!U9+'Debt Schedule'!U10+'Debt Schedule'!U11+'Debt Schedule'!U12+'Debt Schedule'!U13+'Debt Schedule'!U14+'Debt Schedule'!U15+'Debt Schedule'!U16</f>
        <v/>
      </c>
      <c r="V45" s="156">
        <f>'Debt Schedule'!V7+'Debt Schedule'!V8+'Debt Schedule'!V9+'Debt Schedule'!V10+'Debt Schedule'!V11+'Debt Schedule'!V12+'Debt Schedule'!V13+'Debt Schedule'!V14+'Debt Schedule'!V15+'Debt Schedule'!V16</f>
        <v/>
      </c>
      <c r="W45" s="156">
        <f>'Debt Schedule'!W7+'Debt Schedule'!W8+'Debt Schedule'!W9+'Debt Schedule'!W10+'Debt Schedule'!W11+'Debt Schedule'!W12+'Debt Schedule'!W13+'Debt Schedule'!W14+'Debt Schedule'!W15+'Debt Schedule'!W16</f>
        <v/>
      </c>
      <c r="X45" s="156">
        <f>'Debt Schedule'!X7+'Debt Schedule'!X8+'Debt Schedule'!X9+'Debt Schedule'!X10+'Debt Schedule'!X11+'Debt Schedule'!X12+'Debt Schedule'!X13+'Debt Schedule'!X14+'Debt Schedule'!X15+'Debt Schedule'!X16</f>
        <v/>
      </c>
      <c r="Y45" s="156">
        <f>'Debt Schedule'!Y7+'Debt Schedule'!Y8+'Debt Schedule'!Y9+'Debt Schedule'!Y10+'Debt Schedule'!Y11+'Debt Schedule'!Y12+'Debt Schedule'!Y13+'Debt Schedule'!Y14+'Debt Schedule'!Y15+'Debt Schedule'!Y16</f>
        <v/>
      </c>
      <c r="Z45" s="156">
        <f>'Debt Schedule'!Z7+'Debt Schedule'!Z8+'Debt Schedule'!Z9+'Debt Schedule'!Z10+'Debt Schedule'!Z11+'Debt Schedule'!Z12+'Debt Schedule'!Z13+'Debt Schedule'!Z14+'Debt Schedule'!Z15+'Debt Schedule'!Z16</f>
        <v/>
      </c>
      <c r="AA45" s="156">
        <f>'Debt Schedule'!AA7+'Debt Schedule'!AA8+'Debt Schedule'!AA9+'Debt Schedule'!AA10+'Debt Schedule'!AA11+'Debt Schedule'!AA12+'Debt Schedule'!AA13+'Debt Schedule'!AA14+'Debt Schedule'!AA15+'Debt Schedule'!AA16</f>
        <v/>
      </c>
      <c r="AB45" s="156">
        <f>'Debt Schedule'!AB7+'Debt Schedule'!AB8+'Debt Schedule'!AB9+'Debt Schedule'!AB10+'Debt Schedule'!AB11+'Debt Schedule'!AB12+'Debt Schedule'!AB13+'Debt Schedule'!AB14+'Debt Schedule'!AB15+'Debt Schedule'!AB16</f>
        <v/>
      </c>
      <c r="AC45" s="156">
        <f>'Debt Schedule'!AC7+'Debt Schedule'!AC8+'Debt Schedule'!AC9+'Debt Schedule'!AC10+'Debt Schedule'!AC11+'Debt Schedule'!AC12+'Debt Schedule'!AC13+'Debt Schedule'!AC14+'Debt Schedule'!AC15+'Debt Schedule'!AC16</f>
        <v/>
      </c>
      <c r="AD45" s="156">
        <f>'Debt Schedule'!AD7+'Debt Schedule'!AD8+'Debt Schedule'!AD9+'Debt Schedule'!AD10+'Debt Schedule'!AD11+'Debt Schedule'!AD12+'Debt Schedule'!AD13+'Debt Schedule'!AD14+'Debt Schedule'!AD15+'Debt Schedule'!AD16</f>
        <v/>
      </c>
      <c r="AE45" s="156">
        <f>'Debt Schedule'!AE7+'Debt Schedule'!AE8+'Debt Schedule'!AE9+'Debt Schedule'!AE10+'Debt Schedule'!AE11+'Debt Schedule'!AE12+'Debt Schedule'!AE13+'Debt Schedule'!AE14+'Debt Schedule'!AE15+'Debt Schedule'!AE16</f>
        <v/>
      </c>
      <c r="AF45" s="156">
        <f>'Debt Schedule'!AF7+'Debt Schedule'!AF8+'Debt Schedule'!AF9+'Debt Schedule'!AF10+'Debt Schedule'!AF11+'Debt Schedule'!AF12+'Debt Schedule'!AF13+'Debt Schedule'!AF14+'Debt Schedule'!AF15+'Debt Schedule'!AF16</f>
        <v/>
      </c>
      <c r="AG45" s="156">
        <f>'Debt Schedule'!AG7+'Debt Schedule'!AG8+'Debt Schedule'!AG9+'Debt Schedule'!AG10+'Debt Schedule'!AG11+'Debt Schedule'!AG12+'Debt Schedule'!AG13+'Debt Schedule'!AG14+'Debt Schedule'!AG15+'Debt Schedule'!AG16</f>
        <v/>
      </c>
      <c r="AH45" s="156">
        <f>'Debt Schedule'!AH7+'Debt Schedule'!AH8+'Debt Schedule'!AH9+'Debt Schedule'!AH10+'Debt Schedule'!AH11+'Debt Schedule'!AH12+'Debt Schedule'!AH13+'Debt Schedule'!AH14+'Debt Schedule'!AH15+'Debt Schedule'!AH16</f>
        <v/>
      </c>
      <c r="AI45" s="156">
        <f>'Debt Schedule'!AI7+'Debt Schedule'!AI8+'Debt Schedule'!AI9+'Debt Schedule'!AI10+'Debt Schedule'!AI11+'Debt Schedule'!AI12+'Debt Schedule'!AI13+'Debt Schedule'!AI14+'Debt Schedule'!AI15+'Debt Schedule'!AI16</f>
        <v/>
      </c>
      <c r="AJ45" s="156">
        <f>'Debt Schedule'!AJ7+'Debt Schedule'!AJ8+'Debt Schedule'!AJ9+'Debt Schedule'!AJ10+'Debt Schedule'!AJ11+'Debt Schedule'!AJ12+'Debt Schedule'!AJ13+'Debt Schedule'!AJ14+'Debt Schedule'!AJ15+'Debt Schedule'!AJ16</f>
        <v/>
      </c>
      <c r="AK45" s="156">
        <f>'Debt Schedule'!AK7+'Debt Schedule'!AK8+'Debt Schedule'!AK9+'Debt Schedule'!AK10+'Debt Schedule'!AK11+'Debt Schedule'!AK12+'Debt Schedule'!AK13+'Debt Schedule'!AK14+'Debt Schedule'!AK15+'Debt Schedule'!AK16</f>
        <v/>
      </c>
      <c r="AL45" s="156">
        <f>'Debt Schedule'!AL7+'Debt Schedule'!AL8+'Debt Schedule'!AL9+'Debt Schedule'!AL10+'Debt Schedule'!AL11+'Debt Schedule'!AL12+'Debt Schedule'!AL13+'Debt Schedule'!AL14+'Debt Schedule'!AL15+'Debt Schedule'!AL16</f>
        <v/>
      </c>
      <c r="AM45" s="156">
        <f>'Debt Schedule'!AM7+'Debt Schedule'!AM8+'Debt Schedule'!AM9+'Debt Schedule'!AM10+'Debt Schedule'!AM11+'Debt Schedule'!AM12+'Debt Schedule'!AM13+'Debt Schedule'!AM14+'Debt Schedule'!AM15+'Debt Schedule'!AM16</f>
        <v/>
      </c>
      <c r="AN45" s="156">
        <f>'Debt Schedule'!AN7+'Debt Schedule'!AN8+'Debt Schedule'!AN9+'Debt Schedule'!AN10+'Debt Schedule'!AN11+'Debt Schedule'!AN12+'Debt Schedule'!AN13+'Debt Schedule'!AN14+'Debt Schedule'!AN15+'Debt Schedule'!AN16</f>
        <v/>
      </c>
      <c r="AO45" s="156">
        <f>'Debt Schedule'!AO7+'Debt Schedule'!AO8+'Debt Schedule'!AO9+'Debt Schedule'!AO10+'Debt Schedule'!AO11+'Debt Schedule'!AO12+'Debt Schedule'!AO13+'Debt Schedule'!AO14+'Debt Schedule'!AO15+'Debt Schedule'!AO16</f>
        <v/>
      </c>
      <c r="AP45" s="156">
        <f>'Debt Schedule'!AP7+'Debt Schedule'!AP8+'Debt Schedule'!AP9+'Debt Schedule'!AP10+'Debt Schedule'!AP11+'Debt Schedule'!AP12+'Debt Schedule'!AP13+'Debt Schedule'!AP14+'Debt Schedule'!AP15+'Debt Schedule'!AP16</f>
        <v/>
      </c>
      <c r="AQ45" s="156">
        <f>'Debt Schedule'!AQ7+'Debt Schedule'!AQ8+'Debt Schedule'!AQ9+'Debt Schedule'!AQ10+'Debt Schedule'!AQ11+'Debt Schedule'!AQ12+'Debt Schedule'!AQ13+'Debt Schedule'!AQ14+'Debt Schedule'!AQ15+'Debt Schedule'!AQ16</f>
        <v/>
      </c>
      <c r="AR45" s="156">
        <f>'Debt Schedule'!AR7+'Debt Schedule'!AR8+'Debt Schedule'!AR9+'Debt Schedule'!AR10+'Debt Schedule'!AR11+'Debt Schedule'!AR12+'Debt Schedule'!AR13+'Debt Schedule'!AR14+'Debt Schedule'!AR15+'Debt Schedule'!AR16</f>
        <v/>
      </c>
      <c r="AS45" s="156">
        <f>'Debt Schedule'!AS7+'Debt Schedule'!AS8+'Debt Schedule'!AS9+'Debt Schedule'!AS10+'Debt Schedule'!AS11+'Debt Schedule'!AS12+'Debt Schedule'!AS13+'Debt Schedule'!AS14+'Debt Schedule'!AS15+'Debt Schedule'!AS16</f>
        <v/>
      </c>
      <c r="AT45" s="156">
        <f>'Debt Schedule'!AT7+'Debt Schedule'!AT8+'Debt Schedule'!AT9+'Debt Schedule'!AT10+'Debt Schedule'!AT11+'Debt Schedule'!AT12+'Debt Schedule'!AT13+'Debt Schedule'!AT14+'Debt Schedule'!AT15+'Debt Schedule'!AT16</f>
        <v/>
      </c>
      <c r="AU45" s="156">
        <f>'Debt Schedule'!AU7+'Debt Schedule'!AU8+'Debt Schedule'!AU9+'Debt Schedule'!AU10+'Debt Schedule'!AU11+'Debt Schedule'!AU12+'Debt Schedule'!AU13+'Debt Schedule'!AU14+'Debt Schedule'!AU15+'Debt Schedule'!AU16</f>
        <v/>
      </c>
      <c r="AV45" s="156">
        <f>'Debt Schedule'!AV7+'Debt Schedule'!AV8+'Debt Schedule'!AV9+'Debt Schedule'!AV10+'Debt Schedule'!AV11+'Debt Schedule'!AV12+'Debt Schedule'!AV13+'Debt Schedule'!AV14+'Debt Schedule'!AV15+'Debt Schedule'!AV16</f>
        <v/>
      </c>
      <c r="AW45" s="156">
        <f>'Debt Schedule'!AW7+'Debt Schedule'!AW8+'Debt Schedule'!AW9+'Debt Schedule'!AW10+'Debt Schedule'!AW11+'Debt Schedule'!AW12+'Debt Schedule'!AW13+'Debt Schedule'!AW14+'Debt Schedule'!AW15+'Debt Schedule'!AW16</f>
        <v/>
      </c>
      <c r="AX45" s="156">
        <f>'Debt Schedule'!AX7+'Debt Schedule'!AX8+'Debt Schedule'!AX9+'Debt Schedule'!AX10+'Debt Schedule'!AX11+'Debt Schedule'!AX12+'Debt Schedule'!AX13+'Debt Schedule'!AX14+'Debt Schedule'!AX15+'Debt Schedule'!AX16</f>
        <v/>
      </c>
      <c r="AY45" s="156">
        <f>'Debt Schedule'!AY7+'Debt Schedule'!AY8+'Debt Schedule'!AY9+'Debt Schedule'!AY10+'Debt Schedule'!AY11+'Debt Schedule'!AY12+'Debt Schedule'!AY13+'Debt Schedule'!AY14+'Debt Schedule'!AY15+'Debt Schedule'!AY16</f>
        <v/>
      </c>
      <c r="AZ45" s="156">
        <f>'Debt Schedule'!AZ7+'Debt Schedule'!AZ8+'Debt Schedule'!AZ9+'Debt Schedule'!AZ10+'Debt Schedule'!AZ11+'Debt Schedule'!AZ12+'Debt Schedule'!AZ13+'Debt Schedule'!AZ14+'Debt Schedule'!AZ15+'Debt Schedule'!AZ16</f>
        <v/>
      </c>
      <c r="BA45" s="156">
        <f>'Debt Schedule'!BA7+'Debt Schedule'!BA8+'Debt Schedule'!BA9+'Debt Schedule'!BA10+'Debt Schedule'!BA11+'Debt Schedule'!BA12+'Debt Schedule'!BA13+'Debt Schedule'!BA14+'Debt Schedule'!BA15+'Debt Schedule'!BA16</f>
        <v/>
      </c>
      <c r="BB45" s="156">
        <f>'Debt Schedule'!BB7+'Debt Schedule'!BB8+'Debt Schedule'!BB9+'Debt Schedule'!BB10+'Debt Schedule'!BB11+'Debt Schedule'!BB12+'Debt Schedule'!BB13+'Debt Schedule'!BB14+'Debt Schedule'!BB15+'Debt Schedule'!BB16</f>
        <v/>
      </c>
      <c r="BC45" s="156">
        <f>'Debt Schedule'!BC7+'Debt Schedule'!BC8+'Debt Schedule'!BC9+'Debt Schedule'!BC10+'Debt Schedule'!BC11+'Debt Schedule'!BC12+'Debt Schedule'!BC13+'Debt Schedule'!BC14+'Debt Schedule'!BC15+'Debt Schedule'!BC16</f>
        <v/>
      </c>
      <c r="BD45" s="156">
        <f>'Debt Schedule'!BD7+'Debt Schedule'!BD8+'Debt Schedule'!BD9+'Debt Schedule'!BD10+'Debt Schedule'!BD11+'Debt Schedule'!BD12+'Debt Schedule'!BD13+'Debt Schedule'!BD14+'Debt Schedule'!BD15+'Debt Schedule'!BD16</f>
        <v/>
      </c>
      <c r="BE45" s="156">
        <f>'Debt Schedule'!BE7+'Debt Schedule'!BE8+'Debt Schedule'!BE9+'Debt Schedule'!BE10+'Debt Schedule'!BE11+'Debt Schedule'!BE12+'Debt Schedule'!BE13+'Debt Schedule'!BE14+'Debt Schedule'!BE15+'Debt Schedule'!BE16</f>
        <v/>
      </c>
      <c r="BF45" s="156">
        <f>'Debt Schedule'!BF7+'Debt Schedule'!BF8+'Debt Schedule'!BF9+'Debt Schedule'!BF10+'Debt Schedule'!BF11+'Debt Schedule'!BF12+'Debt Schedule'!BF13+'Debt Schedule'!BF14+'Debt Schedule'!BF15+'Debt Schedule'!BF16</f>
        <v/>
      </c>
      <c r="BG45" s="156">
        <f>'Debt Schedule'!BG7+'Debt Schedule'!BG8+'Debt Schedule'!BG9+'Debt Schedule'!BG10+'Debt Schedule'!BG11+'Debt Schedule'!BG12+'Debt Schedule'!BG13+'Debt Schedule'!BG14+'Debt Schedule'!BG15+'Debt Schedule'!BG16</f>
        <v/>
      </c>
      <c r="BH45" s="156">
        <f>'Debt Schedule'!BH7+'Debt Schedule'!BH8+'Debt Schedule'!BH9+'Debt Schedule'!BH10+'Debt Schedule'!BH11+'Debt Schedule'!BH12+'Debt Schedule'!BH13+'Debt Schedule'!BH14+'Debt Schedule'!BH15+'Debt Schedule'!BH16</f>
        <v/>
      </c>
      <c r="BI45" s="156">
        <f>'Debt Schedule'!BI7+'Debt Schedule'!BI8+'Debt Schedule'!BI9+'Debt Schedule'!BI10+'Debt Schedule'!BI11+'Debt Schedule'!BI12+'Debt Schedule'!BI13+'Debt Schedule'!BI14+'Debt Schedule'!BI15+'Debt Schedule'!BI16</f>
        <v/>
      </c>
      <c r="BJ45" s="156">
        <f>'Debt Schedule'!BJ7+'Debt Schedule'!BJ8+'Debt Schedule'!BJ9+'Debt Schedule'!BJ10+'Debt Schedule'!BJ11+'Debt Schedule'!BJ12+'Debt Schedule'!BJ13+'Debt Schedule'!BJ14+'Debt Schedule'!BJ15+'Debt Schedule'!BJ16</f>
        <v/>
      </c>
      <c r="BL45" s="157">
        <f>C34+D34+E34+F34+G34+H34+I34+J34+K34+L34+M34+N34</f>
        <v/>
      </c>
      <c r="BM45" s="157">
        <f>O34+P34+Q34+R34+S34+T34+U34+V34+W34+X34+Y34+Z34</f>
        <v/>
      </c>
      <c r="BN45" s="157">
        <f>AA34+AB34+AC34+AD34+AE34+AF34+AG34+AH34+AI34+AJ34+AK34+AL34</f>
        <v/>
      </c>
      <c r="BO45" s="157">
        <f>AM34+AN34+AO34+AP34+AQ34+AR34+AS34+AT34+AU34+AV34+AW34+AX34</f>
        <v/>
      </c>
      <c r="BP45" s="157">
        <f>AY34+AZ34+BA34+BB34+BC34+BD34+BE34+BF34+BG34+BH34+BI34+BJ34</f>
        <v/>
      </c>
    </row>
    <row r="46" ht="15" customHeight="1" s="104">
      <c r="A46" s="107" t="inlineStr">
        <is>
          <t xml:space="preserve">    Add-On Equity Contributions</t>
        </is>
      </c>
      <c r="C46" s="156">
        <f>'Debt Schedule'!C29+'Debt Schedule'!C30+'Debt Schedule'!C31+'Debt Schedule'!C32+'Debt Schedule'!C33+'Debt Schedule'!C34+'Debt Schedule'!C35+'Debt Schedule'!C36+'Debt Schedule'!C37+'Debt Schedule'!C38</f>
        <v/>
      </c>
      <c r="D46" s="156">
        <f>'Debt Schedule'!D29+'Debt Schedule'!D30+'Debt Schedule'!D31+'Debt Schedule'!D32+'Debt Schedule'!D33+'Debt Schedule'!D34+'Debt Schedule'!D35+'Debt Schedule'!D36+'Debt Schedule'!D37+'Debt Schedule'!D38</f>
        <v/>
      </c>
      <c r="E46" s="156">
        <f>'Debt Schedule'!E29+'Debt Schedule'!E30+'Debt Schedule'!E31+'Debt Schedule'!E32+'Debt Schedule'!E33+'Debt Schedule'!E34+'Debt Schedule'!E35+'Debt Schedule'!E36+'Debt Schedule'!E37+'Debt Schedule'!E38</f>
        <v/>
      </c>
      <c r="F46" s="156">
        <f>'Debt Schedule'!F29+'Debt Schedule'!F30+'Debt Schedule'!F31+'Debt Schedule'!F32+'Debt Schedule'!F33+'Debt Schedule'!F34+'Debt Schedule'!F35+'Debt Schedule'!F36+'Debt Schedule'!F37+'Debt Schedule'!F38</f>
        <v/>
      </c>
      <c r="G46" s="156">
        <f>'Debt Schedule'!G29+'Debt Schedule'!G30+'Debt Schedule'!G31+'Debt Schedule'!G32+'Debt Schedule'!G33+'Debt Schedule'!G34+'Debt Schedule'!G35+'Debt Schedule'!G36+'Debt Schedule'!G37+'Debt Schedule'!G38</f>
        <v/>
      </c>
      <c r="H46" s="156">
        <f>'Debt Schedule'!H29+'Debt Schedule'!H30+'Debt Schedule'!H31+'Debt Schedule'!H32+'Debt Schedule'!H33+'Debt Schedule'!H34+'Debt Schedule'!H35+'Debt Schedule'!H36+'Debt Schedule'!H37+'Debt Schedule'!H38</f>
        <v/>
      </c>
      <c r="I46" s="156">
        <f>'Debt Schedule'!I29+'Debt Schedule'!I30+'Debt Schedule'!I31+'Debt Schedule'!I32+'Debt Schedule'!I33+'Debt Schedule'!I34+'Debt Schedule'!I35+'Debt Schedule'!I36+'Debt Schedule'!I37+'Debt Schedule'!I38</f>
        <v/>
      </c>
      <c r="J46" s="156">
        <f>'Debt Schedule'!J29+'Debt Schedule'!J30+'Debt Schedule'!J31+'Debt Schedule'!J32+'Debt Schedule'!J33+'Debt Schedule'!J34+'Debt Schedule'!J35+'Debt Schedule'!J36+'Debt Schedule'!J37+'Debt Schedule'!J38</f>
        <v/>
      </c>
      <c r="K46" s="156">
        <f>'Debt Schedule'!K29+'Debt Schedule'!K30+'Debt Schedule'!K31+'Debt Schedule'!K32+'Debt Schedule'!K33+'Debt Schedule'!K34+'Debt Schedule'!K35+'Debt Schedule'!K36+'Debt Schedule'!K37+'Debt Schedule'!K38</f>
        <v/>
      </c>
      <c r="L46" s="156">
        <f>'Debt Schedule'!L29+'Debt Schedule'!L30+'Debt Schedule'!L31+'Debt Schedule'!L32+'Debt Schedule'!L33+'Debt Schedule'!L34+'Debt Schedule'!L35+'Debt Schedule'!L36+'Debt Schedule'!L37+'Debt Schedule'!L38</f>
        <v/>
      </c>
      <c r="M46" s="156">
        <f>'Debt Schedule'!M29+'Debt Schedule'!M30+'Debt Schedule'!M31+'Debt Schedule'!M32+'Debt Schedule'!M33+'Debt Schedule'!M34+'Debt Schedule'!M35+'Debt Schedule'!M36+'Debt Schedule'!M37+'Debt Schedule'!M38</f>
        <v/>
      </c>
      <c r="N46" s="156">
        <f>'Debt Schedule'!N29+'Debt Schedule'!N30+'Debt Schedule'!N31+'Debt Schedule'!N32+'Debt Schedule'!N33+'Debt Schedule'!N34+'Debt Schedule'!N35+'Debt Schedule'!N36+'Debt Schedule'!N37+'Debt Schedule'!N38</f>
        <v/>
      </c>
      <c r="O46" s="156">
        <f>'Debt Schedule'!O29+'Debt Schedule'!O30+'Debt Schedule'!O31+'Debt Schedule'!O32+'Debt Schedule'!O33+'Debt Schedule'!O34+'Debt Schedule'!O35+'Debt Schedule'!O36+'Debt Schedule'!O37+'Debt Schedule'!O38</f>
        <v/>
      </c>
      <c r="P46" s="156">
        <f>'Debt Schedule'!P29+'Debt Schedule'!P30+'Debt Schedule'!P31+'Debt Schedule'!P32+'Debt Schedule'!P33+'Debt Schedule'!P34+'Debt Schedule'!P35+'Debt Schedule'!P36+'Debt Schedule'!P37+'Debt Schedule'!P38</f>
        <v/>
      </c>
      <c r="Q46" s="156">
        <f>'Debt Schedule'!Q29+'Debt Schedule'!Q30+'Debt Schedule'!Q31+'Debt Schedule'!Q32+'Debt Schedule'!Q33+'Debt Schedule'!Q34+'Debt Schedule'!Q35+'Debt Schedule'!Q36+'Debt Schedule'!Q37+'Debt Schedule'!Q38</f>
        <v/>
      </c>
      <c r="R46" s="156">
        <f>'Debt Schedule'!R29+'Debt Schedule'!R30+'Debt Schedule'!R31+'Debt Schedule'!R32+'Debt Schedule'!R33+'Debt Schedule'!R34+'Debt Schedule'!R35+'Debt Schedule'!R36+'Debt Schedule'!R37+'Debt Schedule'!R38</f>
        <v/>
      </c>
      <c r="S46" s="156">
        <f>'Debt Schedule'!S29+'Debt Schedule'!S30+'Debt Schedule'!S31+'Debt Schedule'!S32+'Debt Schedule'!S33+'Debt Schedule'!S34+'Debt Schedule'!S35+'Debt Schedule'!S36+'Debt Schedule'!S37+'Debt Schedule'!S38</f>
        <v/>
      </c>
      <c r="T46" s="156">
        <f>'Debt Schedule'!T29+'Debt Schedule'!T30+'Debt Schedule'!T31+'Debt Schedule'!T32+'Debt Schedule'!T33+'Debt Schedule'!T34+'Debt Schedule'!T35+'Debt Schedule'!T36+'Debt Schedule'!T37+'Debt Schedule'!T38</f>
        <v/>
      </c>
      <c r="U46" s="156">
        <f>'Debt Schedule'!U29+'Debt Schedule'!U30+'Debt Schedule'!U31+'Debt Schedule'!U32+'Debt Schedule'!U33+'Debt Schedule'!U34+'Debt Schedule'!U35+'Debt Schedule'!U36+'Debt Schedule'!U37+'Debt Schedule'!U38</f>
        <v/>
      </c>
      <c r="V46" s="156">
        <f>'Debt Schedule'!V29+'Debt Schedule'!V30+'Debt Schedule'!V31+'Debt Schedule'!V32+'Debt Schedule'!V33+'Debt Schedule'!V34+'Debt Schedule'!V35+'Debt Schedule'!V36+'Debt Schedule'!V37+'Debt Schedule'!V38</f>
        <v/>
      </c>
      <c r="W46" s="156">
        <f>'Debt Schedule'!W29+'Debt Schedule'!W30+'Debt Schedule'!W31+'Debt Schedule'!W32+'Debt Schedule'!W33+'Debt Schedule'!W34+'Debt Schedule'!W35+'Debt Schedule'!W36+'Debt Schedule'!W37+'Debt Schedule'!W38</f>
        <v/>
      </c>
      <c r="X46" s="156">
        <f>'Debt Schedule'!X29+'Debt Schedule'!X30+'Debt Schedule'!X31+'Debt Schedule'!X32+'Debt Schedule'!X33+'Debt Schedule'!X34+'Debt Schedule'!X35+'Debt Schedule'!X36+'Debt Schedule'!X37+'Debt Schedule'!X38</f>
        <v/>
      </c>
      <c r="Y46" s="156">
        <f>'Debt Schedule'!Y29+'Debt Schedule'!Y30+'Debt Schedule'!Y31+'Debt Schedule'!Y32+'Debt Schedule'!Y33+'Debt Schedule'!Y34+'Debt Schedule'!Y35+'Debt Schedule'!Y36+'Debt Schedule'!Y37+'Debt Schedule'!Y38</f>
        <v/>
      </c>
      <c r="Z46" s="156">
        <f>'Debt Schedule'!Z29+'Debt Schedule'!Z30+'Debt Schedule'!Z31+'Debt Schedule'!Z32+'Debt Schedule'!Z33+'Debt Schedule'!Z34+'Debt Schedule'!Z35+'Debt Schedule'!Z36+'Debt Schedule'!Z37+'Debt Schedule'!Z38</f>
        <v/>
      </c>
      <c r="AA46" s="156">
        <f>'Debt Schedule'!AA29+'Debt Schedule'!AA30+'Debt Schedule'!AA31+'Debt Schedule'!AA32+'Debt Schedule'!AA33+'Debt Schedule'!AA34+'Debt Schedule'!AA35+'Debt Schedule'!AA36+'Debt Schedule'!AA37+'Debt Schedule'!AA38</f>
        <v/>
      </c>
      <c r="AB46" s="156">
        <f>'Debt Schedule'!AB29+'Debt Schedule'!AB30+'Debt Schedule'!AB31+'Debt Schedule'!AB32+'Debt Schedule'!AB33+'Debt Schedule'!AB34+'Debt Schedule'!AB35+'Debt Schedule'!AB36+'Debt Schedule'!AB37+'Debt Schedule'!AB38</f>
        <v/>
      </c>
      <c r="AC46" s="156">
        <f>'Debt Schedule'!AC29+'Debt Schedule'!AC30+'Debt Schedule'!AC31+'Debt Schedule'!AC32+'Debt Schedule'!AC33+'Debt Schedule'!AC34+'Debt Schedule'!AC35+'Debt Schedule'!AC36+'Debt Schedule'!AC37+'Debt Schedule'!AC38</f>
        <v/>
      </c>
      <c r="AD46" s="156">
        <f>'Debt Schedule'!AD29+'Debt Schedule'!AD30+'Debt Schedule'!AD31+'Debt Schedule'!AD32+'Debt Schedule'!AD33+'Debt Schedule'!AD34+'Debt Schedule'!AD35+'Debt Schedule'!AD36+'Debt Schedule'!AD37+'Debt Schedule'!AD38</f>
        <v/>
      </c>
      <c r="AE46" s="156">
        <f>'Debt Schedule'!AE29+'Debt Schedule'!AE30+'Debt Schedule'!AE31+'Debt Schedule'!AE32+'Debt Schedule'!AE33+'Debt Schedule'!AE34+'Debt Schedule'!AE35+'Debt Schedule'!AE36+'Debt Schedule'!AE37+'Debt Schedule'!AE38</f>
        <v/>
      </c>
      <c r="AF46" s="156">
        <f>'Debt Schedule'!AF29+'Debt Schedule'!AF30+'Debt Schedule'!AF31+'Debt Schedule'!AF32+'Debt Schedule'!AF33+'Debt Schedule'!AF34+'Debt Schedule'!AF35+'Debt Schedule'!AF36+'Debt Schedule'!AF37+'Debt Schedule'!AF38</f>
        <v/>
      </c>
      <c r="AG46" s="156">
        <f>'Debt Schedule'!AG29+'Debt Schedule'!AG30+'Debt Schedule'!AG31+'Debt Schedule'!AG32+'Debt Schedule'!AG33+'Debt Schedule'!AG34+'Debt Schedule'!AG35+'Debt Schedule'!AG36+'Debt Schedule'!AG37+'Debt Schedule'!AG38</f>
        <v/>
      </c>
      <c r="AH46" s="156">
        <f>'Debt Schedule'!AH29+'Debt Schedule'!AH30+'Debt Schedule'!AH31+'Debt Schedule'!AH32+'Debt Schedule'!AH33+'Debt Schedule'!AH34+'Debt Schedule'!AH35+'Debt Schedule'!AH36+'Debt Schedule'!AH37+'Debt Schedule'!AH38</f>
        <v/>
      </c>
      <c r="AI46" s="156">
        <f>'Debt Schedule'!AI29+'Debt Schedule'!AI30+'Debt Schedule'!AI31+'Debt Schedule'!AI32+'Debt Schedule'!AI33+'Debt Schedule'!AI34+'Debt Schedule'!AI35+'Debt Schedule'!AI36+'Debt Schedule'!AI37+'Debt Schedule'!AI38</f>
        <v/>
      </c>
      <c r="AJ46" s="156">
        <f>'Debt Schedule'!AJ29+'Debt Schedule'!AJ30+'Debt Schedule'!AJ31+'Debt Schedule'!AJ32+'Debt Schedule'!AJ33+'Debt Schedule'!AJ34+'Debt Schedule'!AJ35+'Debt Schedule'!AJ36+'Debt Schedule'!AJ37+'Debt Schedule'!AJ38</f>
        <v/>
      </c>
      <c r="AK46" s="156">
        <f>'Debt Schedule'!AK29+'Debt Schedule'!AK30+'Debt Schedule'!AK31+'Debt Schedule'!AK32+'Debt Schedule'!AK33+'Debt Schedule'!AK34+'Debt Schedule'!AK35+'Debt Schedule'!AK36+'Debt Schedule'!AK37+'Debt Schedule'!AK38</f>
        <v/>
      </c>
      <c r="AL46" s="156">
        <f>'Debt Schedule'!AL29+'Debt Schedule'!AL30+'Debt Schedule'!AL31+'Debt Schedule'!AL32+'Debt Schedule'!AL33+'Debt Schedule'!AL34+'Debt Schedule'!AL35+'Debt Schedule'!AL36+'Debt Schedule'!AL37+'Debt Schedule'!AL38</f>
        <v/>
      </c>
      <c r="AM46" s="156">
        <f>'Debt Schedule'!AM29+'Debt Schedule'!AM30+'Debt Schedule'!AM31+'Debt Schedule'!AM32+'Debt Schedule'!AM33+'Debt Schedule'!AM34+'Debt Schedule'!AM35+'Debt Schedule'!AM36+'Debt Schedule'!AM37+'Debt Schedule'!AM38</f>
        <v/>
      </c>
      <c r="AN46" s="156">
        <f>'Debt Schedule'!AN29+'Debt Schedule'!AN30+'Debt Schedule'!AN31+'Debt Schedule'!AN32+'Debt Schedule'!AN33+'Debt Schedule'!AN34+'Debt Schedule'!AN35+'Debt Schedule'!AN36+'Debt Schedule'!AN37+'Debt Schedule'!AN38</f>
        <v/>
      </c>
      <c r="AO46" s="156">
        <f>'Debt Schedule'!AO29+'Debt Schedule'!AO30+'Debt Schedule'!AO31+'Debt Schedule'!AO32+'Debt Schedule'!AO33+'Debt Schedule'!AO34+'Debt Schedule'!AO35+'Debt Schedule'!AO36+'Debt Schedule'!AO37+'Debt Schedule'!AO38</f>
        <v/>
      </c>
      <c r="AP46" s="156">
        <f>'Debt Schedule'!AP29+'Debt Schedule'!AP30+'Debt Schedule'!AP31+'Debt Schedule'!AP32+'Debt Schedule'!AP33+'Debt Schedule'!AP34+'Debt Schedule'!AP35+'Debt Schedule'!AP36+'Debt Schedule'!AP37+'Debt Schedule'!AP38</f>
        <v/>
      </c>
      <c r="AQ46" s="156">
        <f>'Debt Schedule'!AQ29+'Debt Schedule'!AQ30+'Debt Schedule'!AQ31+'Debt Schedule'!AQ32+'Debt Schedule'!AQ33+'Debt Schedule'!AQ34+'Debt Schedule'!AQ35+'Debt Schedule'!AQ36+'Debt Schedule'!AQ37+'Debt Schedule'!AQ38</f>
        <v/>
      </c>
      <c r="AR46" s="156">
        <f>'Debt Schedule'!AR29+'Debt Schedule'!AR30+'Debt Schedule'!AR31+'Debt Schedule'!AR32+'Debt Schedule'!AR33+'Debt Schedule'!AR34+'Debt Schedule'!AR35+'Debt Schedule'!AR36+'Debt Schedule'!AR37+'Debt Schedule'!AR38</f>
        <v/>
      </c>
      <c r="AS46" s="156">
        <f>'Debt Schedule'!AS29+'Debt Schedule'!AS30+'Debt Schedule'!AS31+'Debt Schedule'!AS32+'Debt Schedule'!AS33+'Debt Schedule'!AS34+'Debt Schedule'!AS35+'Debt Schedule'!AS36+'Debt Schedule'!AS37+'Debt Schedule'!AS38</f>
        <v/>
      </c>
      <c r="AT46" s="156">
        <f>'Debt Schedule'!AT29+'Debt Schedule'!AT30+'Debt Schedule'!AT31+'Debt Schedule'!AT32+'Debt Schedule'!AT33+'Debt Schedule'!AT34+'Debt Schedule'!AT35+'Debt Schedule'!AT36+'Debt Schedule'!AT37+'Debt Schedule'!AT38</f>
        <v/>
      </c>
      <c r="AU46" s="156">
        <f>'Debt Schedule'!AU29+'Debt Schedule'!AU30+'Debt Schedule'!AU31+'Debt Schedule'!AU32+'Debt Schedule'!AU33+'Debt Schedule'!AU34+'Debt Schedule'!AU35+'Debt Schedule'!AU36+'Debt Schedule'!AU37+'Debt Schedule'!AU38</f>
        <v/>
      </c>
      <c r="AV46" s="156">
        <f>'Debt Schedule'!AV29+'Debt Schedule'!AV30+'Debt Schedule'!AV31+'Debt Schedule'!AV32+'Debt Schedule'!AV33+'Debt Schedule'!AV34+'Debt Schedule'!AV35+'Debt Schedule'!AV36+'Debt Schedule'!AV37+'Debt Schedule'!AV38</f>
        <v/>
      </c>
      <c r="AW46" s="156">
        <f>'Debt Schedule'!AW29+'Debt Schedule'!AW30+'Debt Schedule'!AW31+'Debt Schedule'!AW32+'Debt Schedule'!AW33+'Debt Schedule'!AW34+'Debt Schedule'!AW35+'Debt Schedule'!AW36+'Debt Schedule'!AW37+'Debt Schedule'!AW38</f>
        <v/>
      </c>
      <c r="AX46" s="156">
        <f>'Debt Schedule'!AX29+'Debt Schedule'!AX30+'Debt Schedule'!AX31+'Debt Schedule'!AX32+'Debt Schedule'!AX33+'Debt Schedule'!AX34+'Debt Schedule'!AX35+'Debt Schedule'!AX36+'Debt Schedule'!AX37+'Debt Schedule'!AX38</f>
        <v/>
      </c>
      <c r="AY46" s="156">
        <f>'Debt Schedule'!AY29+'Debt Schedule'!AY30+'Debt Schedule'!AY31+'Debt Schedule'!AY32+'Debt Schedule'!AY33+'Debt Schedule'!AY34+'Debt Schedule'!AY35+'Debt Schedule'!AY36+'Debt Schedule'!AY37+'Debt Schedule'!AY38</f>
        <v/>
      </c>
      <c r="AZ46" s="156">
        <f>'Debt Schedule'!AZ29+'Debt Schedule'!AZ30+'Debt Schedule'!AZ31+'Debt Schedule'!AZ32+'Debt Schedule'!AZ33+'Debt Schedule'!AZ34+'Debt Schedule'!AZ35+'Debt Schedule'!AZ36+'Debt Schedule'!AZ37+'Debt Schedule'!AZ38</f>
        <v/>
      </c>
      <c r="BA46" s="156">
        <f>'Debt Schedule'!BA29+'Debt Schedule'!BA30+'Debt Schedule'!BA31+'Debt Schedule'!BA32+'Debt Schedule'!BA33+'Debt Schedule'!BA34+'Debt Schedule'!BA35+'Debt Schedule'!BA36+'Debt Schedule'!BA37+'Debt Schedule'!BA38</f>
        <v/>
      </c>
      <c r="BB46" s="156">
        <f>'Debt Schedule'!BB29+'Debt Schedule'!BB30+'Debt Schedule'!BB31+'Debt Schedule'!BB32+'Debt Schedule'!BB33+'Debt Schedule'!BB34+'Debt Schedule'!BB35+'Debt Schedule'!BB36+'Debt Schedule'!BB37+'Debt Schedule'!BB38</f>
        <v/>
      </c>
      <c r="BC46" s="156">
        <f>'Debt Schedule'!BC29+'Debt Schedule'!BC30+'Debt Schedule'!BC31+'Debt Schedule'!BC32+'Debt Schedule'!BC33+'Debt Schedule'!BC34+'Debt Schedule'!BC35+'Debt Schedule'!BC36+'Debt Schedule'!BC37+'Debt Schedule'!BC38</f>
        <v/>
      </c>
      <c r="BD46" s="156">
        <f>'Debt Schedule'!BD29+'Debt Schedule'!BD30+'Debt Schedule'!BD31+'Debt Schedule'!BD32+'Debt Schedule'!BD33+'Debt Schedule'!BD34+'Debt Schedule'!BD35+'Debt Schedule'!BD36+'Debt Schedule'!BD37+'Debt Schedule'!BD38</f>
        <v/>
      </c>
      <c r="BE46" s="156">
        <f>'Debt Schedule'!BE29+'Debt Schedule'!BE30+'Debt Schedule'!BE31+'Debt Schedule'!BE32+'Debt Schedule'!BE33+'Debt Schedule'!BE34+'Debt Schedule'!BE35+'Debt Schedule'!BE36+'Debt Schedule'!BE37+'Debt Schedule'!BE38</f>
        <v/>
      </c>
      <c r="BF46" s="156">
        <f>'Debt Schedule'!BF29+'Debt Schedule'!BF30+'Debt Schedule'!BF31+'Debt Schedule'!BF32+'Debt Schedule'!BF33+'Debt Schedule'!BF34+'Debt Schedule'!BF35+'Debt Schedule'!BF36+'Debt Schedule'!BF37+'Debt Schedule'!BF38</f>
        <v/>
      </c>
      <c r="BG46" s="156">
        <f>'Debt Schedule'!BG29+'Debt Schedule'!BG30+'Debt Schedule'!BG31+'Debt Schedule'!BG32+'Debt Schedule'!BG33+'Debt Schedule'!BG34+'Debt Schedule'!BG35+'Debt Schedule'!BG36+'Debt Schedule'!BG37+'Debt Schedule'!BG38</f>
        <v/>
      </c>
      <c r="BH46" s="156">
        <f>'Debt Schedule'!BH29+'Debt Schedule'!BH30+'Debt Schedule'!BH31+'Debt Schedule'!BH32+'Debt Schedule'!BH33+'Debt Schedule'!BH34+'Debt Schedule'!BH35+'Debt Schedule'!BH36+'Debt Schedule'!BH37+'Debt Schedule'!BH38</f>
        <v/>
      </c>
      <c r="BI46" s="156">
        <f>'Debt Schedule'!BI29+'Debt Schedule'!BI30+'Debt Schedule'!BI31+'Debt Schedule'!BI32+'Debt Schedule'!BI33+'Debt Schedule'!BI34+'Debt Schedule'!BI35+'Debt Schedule'!BI36+'Debt Schedule'!BI37+'Debt Schedule'!BI38</f>
        <v/>
      </c>
      <c r="BJ46" s="156">
        <f>'Debt Schedule'!BJ29+'Debt Schedule'!BJ30+'Debt Schedule'!BJ31+'Debt Schedule'!BJ32+'Debt Schedule'!BJ33+'Debt Schedule'!BJ34+'Debt Schedule'!BJ35+'Debt Schedule'!BJ36+'Debt Schedule'!BJ37+'Debt Schedule'!BJ38</f>
        <v/>
      </c>
      <c r="BL46" s="157">
        <f>C35+D35+E35+F35+G35+H35+I35+J35+K35+L35+M35+N35</f>
        <v/>
      </c>
      <c r="BM46" s="157">
        <f>O35+P35+Q35+R35+S35+T35+U35+V35+W35+X35+Y35+Z35</f>
        <v/>
      </c>
      <c r="BN46" s="157">
        <f>AA35+AB35+AC35+AD35+AE35+AF35+AG35+AH35+AI35+AJ35+AK35+AL35</f>
        <v/>
      </c>
      <c r="BO46" s="157">
        <f>AM35+AN35+AO35+AP35+AQ35+AR35+AS35+AT35+AU35+AV35+AW35+AX35</f>
        <v/>
      </c>
      <c r="BP46" s="157">
        <f>AY35+AZ35+BA35+BB35+BC35+BD35+BE35+BF35+BG35+BH35+BI35+BJ35</f>
        <v/>
      </c>
    </row>
    <row r="47" ht="15" customHeight="1" s="104">
      <c r="A47" s="107" t="inlineStr">
        <is>
          <t xml:space="preserve">    Less: Debt Principal Repayment</t>
        </is>
      </c>
      <c r="C47" s="156">
        <f>-'Debt Schedule'!C18</f>
        <v/>
      </c>
      <c r="D47" s="156">
        <f>-'Debt Schedule'!D18</f>
        <v/>
      </c>
      <c r="E47" s="156">
        <f>-'Debt Schedule'!E18</f>
        <v/>
      </c>
      <c r="F47" s="156">
        <f>-'Debt Schedule'!F18</f>
        <v/>
      </c>
      <c r="G47" s="156">
        <f>-'Debt Schedule'!G18</f>
        <v/>
      </c>
      <c r="H47" s="156">
        <f>-'Debt Schedule'!H18</f>
        <v/>
      </c>
      <c r="I47" s="156">
        <f>-'Debt Schedule'!I18</f>
        <v/>
      </c>
      <c r="J47" s="156">
        <f>-'Debt Schedule'!J18</f>
        <v/>
      </c>
      <c r="K47" s="156">
        <f>-'Debt Schedule'!K18</f>
        <v/>
      </c>
      <c r="L47" s="156">
        <f>-'Debt Schedule'!L18</f>
        <v/>
      </c>
      <c r="M47" s="156">
        <f>-'Debt Schedule'!M18</f>
        <v/>
      </c>
      <c r="N47" s="156">
        <f>-'Debt Schedule'!N18</f>
        <v/>
      </c>
      <c r="O47" s="156">
        <f>-'Debt Schedule'!O18</f>
        <v/>
      </c>
      <c r="P47" s="156">
        <f>-'Debt Schedule'!P18</f>
        <v/>
      </c>
      <c r="Q47" s="156">
        <f>-'Debt Schedule'!Q18</f>
        <v/>
      </c>
      <c r="R47" s="156">
        <f>-'Debt Schedule'!R18</f>
        <v/>
      </c>
      <c r="S47" s="156">
        <f>-'Debt Schedule'!S18</f>
        <v/>
      </c>
      <c r="T47" s="156">
        <f>-'Debt Schedule'!T18</f>
        <v/>
      </c>
      <c r="U47" s="156">
        <f>-'Debt Schedule'!U18</f>
        <v/>
      </c>
      <c r="V47" s="156">
        <f>-'Debt Schedule'!V18</f>
        <v/>
      </c>
      <c r="W47" s="156">
        <f>-'Debt Schedule'!W18</f>
        <v/>
      </c>
      <c r="X47" s="156">
        <f>-'Debt Schedule'!X18</f>
        <v/>
      </c>
      <c r="Y47" s="156">
        <f>-'Debt Schedule'!Y18</f>
        <v/>
      </c>
      <c r="Z47" s="156">
        <f>-'Debt Schedule'!Z18</f>
        <v/>
      </c>
      <c r="AA47" s="156">
        <f>-'Debt Schedule'!AA18</f>
        <v/>
      </c>
      <c r="AB47" s="156">
        <f>-'Debt Schedule'!AB18</f>
        <v/>
      </c>
      <c r="AC47" s="156">
        <f>-'Debt Schedule'!AC18</f>
        <v/>
      </c>
      <c r="AD47" s="156">
        <f>-'Debt Schedule'!AD18</f>
        <v/>
      </c>
      <c r="AE47" s="156">
        <f>-'Debt Schedule'!AE18</f>
        <v/>
      </c>
      <c r="AF47" s="156">
        <f>-'Debt Schedule'!AF18</f>
        <v/>
      </c>
      <c r="AG47" s="156">
        <f>-'Debt Schedule'!AG18</f>
        <v/>
      </c>
      <c r="AH47" s="156">
        <f>-'Debt Schedule'!AH18</f>
        <v/>
      </c>
      <c r="AI47" s="156">
        <f>-'Debt Schedule'!AI18</f>
        <v/>
      </c>
      <c r="AJ47" s="156">
        <f>-'Debt Schedule'!AJ18</f>
        <v/>
      </c>
      <c r="AK47" s="156">
        <f>-'Debt Schedule'!AK18</f>
        <v/>
      </c>
      <c r="AL47" s="156">
        <f>-'Debt Schedule'!AL18</f>
        <v/>
      </c>
      <c r="AM47" s="156">
        <f>-'Debt Schedule'!AM18</f>
        <v/>
      </c>
      <c r="AN47" s="156">
        <f>-'Debt Schedule'!AN18</f>
        <v/>
      </c>
      <c r="AO47" s="156">
        <f>-'Debt Schedule'!AO18</f>
        <v/>
      </c>
      <c r="AP47" s="156">
        <f>-'Debt Schedule'!AP18</f>
        <v/>
      </c>
      <c r="AQ47" s="156">
        <f>-'Debt Schedule'!AQ18</f>
        <v/>
      </c>
      <c r="AR47" s="156">
        <f>-'Debt Schedule'!AR18</f>
        <v/>
      </c>
      <c r="AS47" s="156">
        <f>-'Debt Schedule'!AS18</f>
        <v/>
      </c>
      <c r="AT47" s="156">
        <f>-'Debt Schedule'!AT18</f>
        <v/>
      </c>
      <c r="AU47" s="156">
        <f>-'Debt Schedule'!AU18</f>
        <v/>
      </c>
      <c r="AV47" s="156">
        <f>-'Debt Schedule'!AV18</f>
        <v/>
      </c>
      <c r="AW47" s="156">
        <f>-'Debt Schedule'!AW18</f>
        <v/>
      </c>
      <c r="AX47" s="156">
        <f>-'Debt Schedule'!AX18</f>
        <v/>
      </c>
      <c r="AY47" s="156">
        <f>-'Debt Schedule'!AY18</f>
        <v/>
      </c>
      <c r="AZ47" s="156">
        <f>-'Debt Schedule'!AZ18</f>
        <v/>
      </c>
      <c r="BA47" s="156">
        <f>-'Debt Schedule'!BA18</f>
        <v/>
      </c>
      <c r="BB47" s="156">
        <f>-'Debt Schedule'!BB18</f>
        <v/>
      </c>
      <c r="BC47" s="156">
        <f>-'Debt Schedule'!BC18</f>
        <v/>
      </c>
      <c r="BD47" s="156">
        <f>-'Debt Schedule'!BD18</f>
        <v/>
      </c>
      <c r="BE47" s="156">
        <f>-'Debt Schedule'!BE18</f>
        <v/>
      </c>
      <c r="BF47" s="156">
        <f>-'Debt Schedule'!BF18</f>
        <v/>
      </c>
      <c r="BG47" s="156">
        <f>-'Debt Schedule'!BG18</f>
        <v/>
      </c>
      <c r="BH47" s="156">
        <f>-'Debt Schedule'!BH18</f>
        <v/>
      </c>
      <c r="BI47" s="156">
        <f>-'Debt Schedule'!BI18</f>
        <v/>
      </c>
      <c r="BJ47" s="156">
        <f>-'Debt Schedule'!BJ18</f>
        <v/>
      </c>
      <c r="BL47" s="157">
        <f>C36+D36+E36+F36+G36+H36+I36+J36+K36+L36+M36+N36</f>
        <v/>
      </c>
      <c r="BM47" s="157">
        <f>O36+P36+Q36+R36+S36+T36+U36+V36+W36+X36+Y36+Z36</f>
        <v/>
      </c>
      <c r="BN47" s="157">
        <f>AA36+AB36+AC36+AD36+AE36+AF36+AG36+AH36+AI36+AJ36+AK36+AL36</f>
        <v/>
      </c>
      <c r="BO47" s="157">
        <f>AM36+AN36+AO36+AP36+AQ36+AR36+AS36+AT36+AU36+AV36+AW36+AX36</f>
        <v/>
      </c>
      <c r="BP47" s="157">
        <f>AY36+AZ36+BA36+BB36+BC36+BD36+BE36+BF36+BG36+BH36+BI36+BJ36</f>
        <v/>
      </c>
    </row>
    <row r="48" ht="15" customHeight="1" s="104">
      <c r="A48" s="185" t="inlineStr">
        <is>
          <t>Cash from Financing</t>
        </is>
      </c>
      <c r="C48" s="152">
        <f>C43+C44+C45+C46+C47</f>
        <v/>
      </c>
      <c r="D48" s="152">
        <f>D43+D44+D45+D46+D47</f>
        <v/>
      </c>
      <c r="E48" s="152">
        <f>E43+E44+E45+E46+E47</f>
        <v/>
      </c>
      <c r="F48" s="152">
        <f>F43+F44+F45+F46+F47</f>
        <v/>
      </c>
      <c r="G48" s="152">
        <f>G43+G44+G45+G46+G47</f>
        <v/>
      </c>
      <c r="H48" s="152">
        <f>H43+H44+H45+H46+H47</f>
        <v/>
      </c>
      <c r="I48" s="152">
        <f>I43+I44+I45+I46+I47</f>
        <v/>
      </c>
      <c r="J48" s="152">
        <f>J43+J44+J45+J46+J47</f>
        <v/>
      </c>
      <c r="K48" s="152">
        <f>K43+K44+K45+K46+K47</f>
        <v/>
      </c>
      <c r="L48" s="152">
        <f>L43+L44+L45+L46+L47</f>
        <v/>
      </c>
      <c r="M48" s="152">
        <f>M43+M44+M45+M46+M47</f>
        <v/>
      </c>
      <c r="N48" s="152">
        <f>N43+N44+N45+N46+N47</f>
        <v/>
      </c>
      <c r="O48" s="152">
        <f>O43+O44+O45+O46+O47</f>
        <v/>
      </c>
      <c r="P48" s="152">
        <f>P43+P44+P45+P46+P47</f>
        <v/>
      </c>
      <c r="Q48" s="152">
        <f>Q43+Q44+Q45+Q46+Q47</f>
        <v/>
      </c>
      <c r="R48" s="152">
        <f>R43+R44+R45+R46+R47</f>
        <v/>
      </c>
      <c r="S48" s="152">
        <f>S43+S44+S45+S46+S47</f>
        <v/>
      </c>
      <c r="T48" s="152">
        <f>T43+T44+T45+T46+T47</f>
        <v/>
      </c>
      <c r="U48" s="152">
        <f>U43+U44+U45+U46+U47</f>
        <v/>
      </c>
      <c r="V48" s="152">
        <f>V43+V44+V45+V46+V47</f>
        <v/>
      </c>
      <c r="W48" s="152">
        <f>W43+W44+W45+W46+W47</f>
        <v/>
      </c>
      <c r="X48" s="152">
        <f>X43+X44+X45+X46+X47</f>
        <v/>
      </c>
      <c r="Y48" s="152">
        <f>Y43+Y44+Y45+Y46+Y47</f>
        <v/>
      </c>
      <c r="Z48" s="152">
        <f>Z43+Z44+Z45+Z46+Z47</f>
        <v/>
      </c>
      <c r="AA48" s="152">
        <f>AA43+AA44+AA45+AA46+AA47</f>
        <v/>
      </c>
      <c r="AB48" s="152">
        <f>AB43+AB44+AB45+AB46+AB47</f>
        <v/>
      </c>
      <c r="AC48" s="152">
        <f>AC43+AC44+AC45+AC46+AC47</f>
        <v/>
      </c>
      <c r="AD48" s="152">
        <f>AD43+AD44+AD45+AD46+AD47</f>
        <v/>
      </c>
      <c r="AE48" s="152">
        <f>AE43+AE44+AE45+AE46+AE47</f>
        <v/>
      </c>
      <c r="AF48" s="152">
        <f>AF43+AF44+AF45+AF46+AF47</f>
        <v/>
      </c>
      <c r="AG48" s="152">
        <f>AG43+AG44+AG45+AG46+AG47</f>
        <v/>
      </c>
      <c r="AH48" s="152">
        <f>AH43+AH44+AH45+AH46+AH47</f>
        <v/>
      </c>
      <c r="AI48" s="152">
        <f>AI43+AI44+AI45+AI46+AI47</f>
        <v/>
      </c>
      <c r="AJ48" s="152">
        <f>AJ43+AJ44+AJ45+AJ46+AJ47</f>
        <v/>
      </c>
      <c r="AK48" s="152">
        <f>AK43+AK44+AK45+AK46+AK47</f>
        <v/>
      </c>
      <c r="AL48" s="152">
        <f>AL43+AL44+AL45+AL46+AL47</f>
        <v/>
      </c>
      <c r="AM48" s="152">
        <f>AM43+AM44+AM45+AM46+AM47</f>
        <v/>
      </c>
      <c r="AN48" s="152">
        <f>AN43+AN44+AN45+AN46+AN47</f>
        <v/>
      </c>
      <c r="AO48" s="152">
        <f>AO43+AO44+AO45+AO46+AO47</f>
        <v/>
      </c>
      <c r="AP48" s="152">
        <f>AP43+AP44+AP45+AP46+AP47</f>
        <v/>
      </c>
      <c r="AQ48" s="152">
        <f>AQ43+AQ44+AQ45+AQ46+AQ47</f>
        <v/>
      </c>
      <c r="AR48" s="152">
        <f>AR43+AR44+AR45+AR46+AR47</f>
        <v/>
      </c>
      <c r="AS48" s="152">
        <f>AS43+AS44+AS45+AS46+AS47</f>
        <v/>
      </c>
      <c r="AT48" s="152">
        <f>AT43+AT44+AT45+AT46+AT47</f>
        <v/>
      </c>
      <c r="AU48" s="152">
        <f>AU43+AU44+AU45+AU46+AU47</f>
        <v/>
      </c>
      <c r="AV48" s="152">
        <f>AV43+AV44+AV45+AV46+AV47</f>
        <v/>
      </c>
      <c r="AW48" s="152">
        <f>AW43+AW44+AW45+AW46+AW47</f>
        <v/>
      </c>
      <c r="AX48" s="152">
        <f>AX43+AX44+AX45+AX46+AX47</f>
        <v/>
      </c>
      <c r="AY48" s="152">
        <f>AY43+AY44+AY45+AY46+AY47</f>
        <v/>
      </c>
      <c r="AZ48" s="152">
        <f>AZ43+AZ44+AZ45+AZ46+AZ47</f>
        <v/>
      </c>
      <c r="BA48" s="152">
        <f>BA43+BA44+BA45+BA46+BA47</f>
        <v/>
      </c>
      <c r="BB48" s="152">
        <f>BB43+BB44+BB45+BB46+BB47</f>
        <v/>
      </c>
      <c r="BC48" s="152">
        <f>BC43+BC44+BC45+BC46+BC47</f>
        <v/>
      </c>
      <c r="BD48" s="152">
        <f>BD43+BD44+BD45+BD46+BD47</f>
        <v/>
      </c>
      <c r="BE48" s="152">
        <f>BE43+BE44+BE45+BE46+BE47</f>
        <v/>
      </c>
      <c r="BF48" s="152">
        <f>BF43+BF44+BF45+BF46+BF47</f>
        <v/>
      </c>
      <c r="BG48" s="152">
        <f>BG43+BG44+BG45+BG46+BG47</f>
        <v/>
      </c>
      <c r="BH48" s="152">
        <f>BH43+BH44+BH45+BH46+BH47</f>
        <v/>
      </c>
      <c r="BI48" s="152">
        <f>BI43+BI44+BI45+BI46+BI47</f>
        <v/>
      </c>
      <c r="BJ48" s="152">
        <f>BJ43+BJ44+BJ45+BJ46+BJ47</f>
        <v/>
      </c>
      <c r="BL48" s="152">
        <f>C48+D48+E48+F48+G48+H48+I48+J48+K48+L48+M48+N48</f>
        <v/>
      </c>
      <c r="BM48" s="152">
        <f>O48+P48+Q48+R48+S48+T48+U48+V48+W48+X48+Y48+Z48</f>
        <v/>
      </c>
      <c r="BN48" s="152">
        <f>AA48+AB48+AC48+AD48+AE48+AF48+AG48+AH48+AI48+AJ48+AK48+AL48</f>
        <v/>
      </c>
      <c r="BO48" s="152">
        <f>AM48+AN48+AO48+AP48+AQ48+AR48+AS48+AT48+AU48+AV48+AW48+AX48</f>
        <v/>
      </c>
      <c r="BP48" s="152">
        <f>AY48+AZ48+BA48+BB48+BC48+BD48+BE48+BF48+BG48+BH48+BI48+BJ48</f>
        <v/>
      </c>
    </row>
    <row r="50" ht="15" customHeight="1" s="104">
      <c r="A50" s="175" t="inlineStr">
        <is>
          <t>CASH SUMMARY</t>
        </is>
      </c>
    </row>
    <row r="51" ht="15" customHeight="1" s="104">
      <c r="A51" s="116" t="inlineStr">
        <is>
          <t>Net Change in Cash</t>
        </is>
      </c>
      <c r="C51" s="151">
        <f>C15+C40+C48</f>
        <v/>
      </c>
      <c r="D51" s="151">
        <f>D15+D40+D48</f>
        <v/>
      </c>
      <c r="E51" s="151">
        <f>E15+E40+E48</f>
        <v/>
      </c>
      <c r="F51" s="151">
        <f>F15+F40+F48</f>
        <v/>
      </c>
      <c r="G51" s="151">
        <f>G15+G40+G48</f>
        <v/>
      </c>
      <c r="H51" s="151">
        <f>H15+H40+H48</f>
        <v/>
      </c>
      <c r="I51" s="151">
        <f>I15+I40+I48</f>
        <v/>
      </c>
      <c r="J51" s="151">
        <f>J15+J40+J48</f>
        <v/>
      </c>
      <c r="K51" s="151">
        <f>K15+K40+K48</f>
        <v/>
      </c>
      <c r="L51" s="151">
        <f>L15+L40+L48</f>
        <v/>
      </c>
      <c r="M51" s="151">
        <f>M15+M40+M48</f>
        <v/>
      </c>
      <c r="N51" s="151">
        <f>N15+N40+N48</f>
        <v/>
      </c>
      <c r="O51" s="151">
        <f>O15+O40+O48</f>
        <v/>
      </c>
      <c r="P51" s="151">
        <f>P15+P40+P48</f>
        <v/>
      </c>
      <c r="Q51" s="151">
        <f>Q15+Q40+Q48</f>
        <v/>
      </c>
      <c r="R51" s="151">
        <f>R15+R40+R48</f>
        <v/>
      </c>
      <c r="S51" s="151">
        <f>S15+S40+S48</f>
        <v/>
      </c>
      <c r="T51" s="151">
        <f>T15+T40+T48</f>
        <v/>
      </c>
      <c r="U51" s="151">
        <f>U15+U40+U48</f>
        <v/>
      </c>
      <c r="V51" s="151">
        <f>V15+V40+V48</f>
        <v/>
      </c>
      <c r="W51" s="151">
        <f>W15+W40+W48</f>
        <v/>
      </c>
      <c r="X51" s="151">
        <f>X15+X40+X48</f>
        <v/>
      </c>
      <c r="Y51" s="151">
        <f>Y15+Y40+Y48</f>
        <v/>
      </c>
      <c r="Z51" s="151">
        <f>Z15+Z40+Z48</f>
        <v/>
      </c>
      <c r="AA51" s="151">
        <f>AA15+AA40+AA48</f>
        <v/>
      </c>
      <c r="AB51" s="151">
        <f>AB15+AB40+AB48</f>
        <v/>
      </c>
      <c r="AC51" s="151">
        <f>AC15+AC40+AC48</f>
        <v/>
      </c>
      <c r="AD51" s="151">
        <f>AD15+AD40+AD48</f>
        <v/>
      </c>
      <c r="AE51" s="151">
        <f>AE15+AE40+AE48</f>
        <v/>
      </c>
      <c r="AF51" s="151">
        <f>AF15+AF40+AF48</f>
        <v/>
      </c>
      <c r="AG51" s="151">
        <f>AG15+AG40+AG48</f>
        <v/>
      </c>
      <c r="AH51" s="151">
        <f>AH15+AH40+AH48</f>
        <v/>
      </c>
      <c r="AI51" s="151">
        <f>AI15+AI40+AI48</f>
        <v/>
      </c>
      <c r="AJ51" s="151">
        <f>AJ15+AJ40+AJ48</f>
        <v/>
      </c>
      <c r="AK51" s="151">
        <f>AK15+AK40+AK48</f>
        <v/>
      </c>
      <c r="AL51" s="151">
        <f>AL15+AL40+AL48</f>
        <v/>
      </c>
      <c r="AM51" s="151">
        <f>AM15+AM40+AM48</f>
        <v/>
      </c>
      <c r="AN51" s="151">
        <f>AN15+AN40+AN48</f>
        <v/>
      </c>
      <c r="AO51" s="151">
        <f>AO15+AO40+AO48</f>
        <v/>
      </c>
      <c r="AP51" s="151">
        <f>AP15+AP40+AP48</f>
        <v/>
      </c>
      <c r="AQ51" s="151">
        <f>AQ15+AQ40+AQ48</f>
        <v/>
      </c>
      <c r="AR51" s="151">
        <f>AR15+AR40+AR48</f>
        <v/>
      </c>
      <c r="AS51" s="151">
        <f>AS15+AS40+AS48</f>
        <v/>
      </c>
      <c r="AT51" s="151">
        <f>AT15+AT40+AT48</f>
        <v/>
      </c>
      <c r="AU51" s="151">
        <f>AU15+AU40+AU48</f>
        <v/>
      </c>
      <c r="AV51" s="151">
        <f>AV15+AV40+AV48</f>
        <v/>
      </c>
      <c r="AW51" s="151">
        <f>AW15+AW40+AW48</f>
        <v/>
      </c>
      <c r="AX51" s="151">
        <f>AX15+AX40+AX48</f>
        <v/>
      </c>
      <c r="AY51" s="151">
        <f>AY15+AY40+AY48</f>
        <v/>
      </c>
      <c r="AZ51" s="151">
        <f>AZ15+AZ40+AZ48</f>
        <v/>
      </c>
      <c r="BA51" s="151">
        <f>BA15+BA40+BA48</f>
        <v/>
      </c>
      <c r="BB51" s="151">
        <f>BB15+BB40+BB48</f>
        <v/>
      </c>
      <c r="BC51" s="151">
        <f>BC15+BC40+BC48</f>
        <v/>
      </c>
      <c r="BD51" s="151">
        <f>BD15+BD40+BD48</f>
        <v/>
      </c>
      <c r="BE51" s="151">
        <f>BE15+BE40+BE48</f>
        <v/>
      </c>
      <c r="BF51" s="151">
        <f>BF15+BF40+BF48</f>
        <v/>
      </c>
      <c r="BG51" s="151">
        <f>BG15+BG40+BG48</f>
        <v/>
      </c>
      <c r="BH51" s="151">
        <f>BH15+BH40+BH48</f>
        <v/>
      </c>
      <c r="BI51" s="151">
        <f>BI15+BI40+BI48</f>
        <v/>
      </c>
      <c r="BJ51" s="151">
        <f>BJ15+BJ40+BJ48</f>
        <v/>
      </c>
      <c r="BL51" s="152">
        <f>C51+D51+E51+F51+G51+H51+I51+J51+K51+L51+M51+N51</f>
        <v/>
      </c>
      <c r="BM51" s="152">
        <f>O51+P51+Q51+R51+S51+T51+U51+V51+W51+X51+Y51+Z51</f>
        <v/>
      </c>
      <c r="BN51" s="152">
        <f>AA51+AB51+AC51+AD51+AE51+AF51+AG51+AH51+AI51+AJ51+AK51+AL51</f>
        <v/>
      </c>
      <c r="BO51" s="152">
        <f>AM51+AN51+AO51+AP51+AQ51+AR51+AS51+AT51+AU51+AV51+AW51+AX51</f>
        <v/>
      </c>
      <c r="BP51" s="152">
        <f>AY51+AZ51+BA51+BB51+BC51+BD51+BE51+BF51+BG51+BH51+BI51+BJ51</f>
        <v/>
      </c>
    </row>
    <row r="52" ht="15" customHeight="1" s="104">
      <c r="A52" s="107" t="inlineStr">
        <is>
          <t>Beginning Cash Balance</t>
        </is>
      </c>
      <c r="C52" s="156" t="n">
        <v>0</v>
      </c>
      <c r="D52" s="156">
        <f>C53</f>
        <v/>
      </c>
      <c r="E52" s="156">
        <f>D53</f>
        <v/>
      </c>
      <c r="F52" s="156">
        <f>E53</f>
        <v/>
      </c>
      <c r="G52" s="156">
        <f>F53</f>
        <v/>
      </c>
      <c r="H52" s="156">
        <f>G53</f>
        <v/>
      </c>
      <c r="I52" s="156">
        <f>H53</f>
        <v/>
      </c>
      <c r="J52" s="156">
        <f>I53</f>
        <v/>
      </c>
      <c r="K52" s="156">
        <f>J53</f>
        <v/>
      </c>
      <c r="L52" s="156">
        <f>K53</f>
        <v/>
      </c>
      <c r="M52" s="156">
        <f>L53</f>
        <v/>
      </c>
      <c r="N52" s="156">
        <f>M53</f>
        <v/>
      </c>
      <c r="O52" s="156">
        <f>N53</f>
        <v/>
      </c>
      <c r="P52" s="156">
        <f>O53</f>
        <v/>
      </c>
      <c r="Q52" s="156">
        <f>P53</f>
        <v/>
      </c>
      <c r="R52" s="156">
        <f>Q53</f>
        <v/>
      </c>
      <c r="S52" s="156">
        <f>R53</f>
        <v/>
      </c>
      <c r="T52" s="156">
        <f>S53</f>
        <v/>
      </c>
      <c r="U52" s="156">
        <f>T53</f>
        <v/>
      </c>
      <c r="V52" s="156">
        <f>U53</f>
        <v/>
      </c>
      <c r="W52" s="156">
        <f>V53</f>
        <v/>
      </c>
      <c r="X52" s="156">
        <f>W53</f>
        <v/>
      </c>
      <c r="Y52" s="156">
        <f>X53</f>
        <v/>
      </c>
      <c r="Z52" s="156">
        <f>Y53</f>
        <v/>
      </c>
      <c r="AA52" s="156">
        <f>Z53</f>
        <v/>
      </c>
      <c r="AB52" s="156">
        <f>AA53</f>
        <v/>
      </c>
      <c r="AC52" s="156">
        <f>AB53</f>
        <v/>
      </c>
      <c r="AD52" s="156">
        <f>AC53</f>
        <v/>
      </c>
      <c r="AE52" s="156">
        <f>AD53</f>
        <v/>
      </c>
      <c r="AF52" s="156">
        <f>AE53</f>
        <v/>
      </c>
      <c r="AG52" s="156">
        <f>AF53</f>
        <v/>
      </c>
      <c r="AH52" s="156">
        <f>AG53</f>
        <v/>
      </c>
      <c r="AI52" s="156">
        <f>AH53</f>
        <v/>
      </c>
      <c r="AJ52" s="156">
        <f>AI53</f>
        <v/>
      </c>
      <c r="AK52" s="156">
        <f>AJ53</f>
        <v/>
      </c>
      <c r="AL52" s="156">
        <f>AK53</f>
        <v/>
      </c>
      <c r="AM52" s="156">
        <f>AL53</f>
        <v/>
      </c>
      <c r="AN52" s="156">
        <f>AM53</f>
        <v/>
      </c>
      <c r="AO52" s="156">
        <f>AN53</f>
        <v/>
      </c>
      <c r="AP52" s="156">
        <f>AO53</f>
        <v/>
      </c>
      <c r="AQ52" s="156">
        <f>AP53</f>
        <v/>
      </c>
      <c r="AR52" s="156">
        <f>AQ53</f>
        <v/>
      </c>
      <c r="AS52" s="156">
        <f>AR53</f>
        <v/>
      </c>
      <c r="AT52" s="156">
        <f>AS53</f>
        <v/>
      </c>
      <c r="AU52" s="156">
        <f>AT53</f>
        <v/>
      </c>
      <c r="AV52" s="156">
        <f>AU53</f>
        <v/>
      </c>
      <c r="AW52" s="156">
        <f>AV53</f>
        <v/>
      </c>
      <c r="AX52" s="156">
        <f>AW53</f>
        <v/>
      </c>
      <c r="AY52" s="156">
        <f>AX53</f>
        <v/>
      </c>
      <c r="AZ52" s="156">
        <f>AY53</f>
        <v/>
      </c>
      <c r="BA52" s="156">
        <f>AZ53</f>
        <v/>
      </c>
      <c r="BB52" s="156">
        <f>BA53</f>
        <v/>
      </c>
      <c r="BC52" s="156">
        <f>BB53</f>
        <v/>
      </c>
      <c r="BD52" s="156">
        <f>BC53</f>
        <v/>
      </c>
      <c r="BE52" s="156">
        <f>BD53</f>
        <v/>
      </c>
      <c r="BF52" s="156">
        <f>BE53</f>
        <v/>
      </c>
      <c r="BG52" s="156">
        <f>BF53</f>
        <v/>
      </c>
      <c r="BH52" s="156">
        <f>BG53</f>
        <v/>
      </c>
      <c r="BI52" s="156">
        <f>BH53</f>
        <v/>
      </c>
      <c r="BJ52" s="156">
        <f>BI53</f>
        <v/>
      </c>
      <c r="BL52" s="157">
        <f>C52</f>
        <v/>
      </c>
      <c r="BM52" s="157">
        <f>O52</f>
        <v/>
      </c>
      <c r="BN52" s="157">
        <f>AA52</f>
        <v/>
      </c>
      <c r="BO52" s="157">
        <f>AM52</f>
        <v/>
      </c>
      <c r="BP52" s="157">
        <f>AY52</f>
        <v/>
      </c>
    </row>
    <row r="53" ht="15" customHeight="1" s="104">
      <c r="A53" s="187" t="inlineStr">
        <is>
          <t>Ending Cash Balance</t>
        </is>
      </c>
      <c r="C53" s="188">
        <f>C52+C51</f>
        <v/>
      </c>
      <c r="D53" s="188">
        <f>D52+D51</f>
        <v/>
      </c>
      <c r="E53" s="188">
        <f>E52+E51</f>
        <v/>
      </c>
      <c r="F53" s="188">
        <f>F52+F51</f>
        <v/>
      </c>
      <c r="G53" s="188">
        <f>G52+G51</f>
        <v/>
      </c>
      <c r="H53" s="188">
        <f>H52+H51</f>
        <v/>
      </c>
      <c r="I53" s="188">
        <f>I52+I51</f>
        <v/>
      </c>
      <c r="J53" s="188">
        <f>J52+J51</f>
        <v/>
      </c>
      <c r="K53" s="188">
        <f>K52+K51</f>
        <v/>
      </c>
      <c r="L53" s="188">
        <f>L52+L51</f>
        <v/>
      </c>
      <c r="M53" s="188">
        <f>M52+M51</f>
        <v/>
      </c>
      <c r="N53" s="188">
        <f>N52+N51</f>
        <v/>
      </c>
      <c r="O53" s="188">
        <f>O52+O51</f>
        <v/>
      </c>
      <c r="P53" s="188">
        <f>P52+P51</f>
        <v/>
      </c>
      <c r="Q53" s="188">
        <f>Q52+Q51</f>
        <v/>
      </c>
      <c r="R53" s="188">
        <f>R52+R51</f>
        <v/>
      </c>
      <c r="S53" s="188">
        <f>S52+S51</f>
        <v/>
      </c>
      <c r="T53" s="188">
        <f>T52+T51</f>
        <v/>
      </c>
      <c r="U53" s="188">
        <f>U52+U51</f>
        <v/>
      </c>
      <c r="V53" s="188">
        <f>V52+V51</f>
        <v/>
      </c>
      <c r="W53" s="188">
        <f>W52+W51</f>
        <v/>
      </c>
      <c r="X53" s="188">
        <f>X52+X51</f>
        <v/>
      </c>
      <c r="Y53" s="188">
        <f>Y52+Y51</f>
        <v/>
      </c>
      <c r="Z53" s="188">
        <f>Z52+Z51</f>
        <v/>
      </c>
      <c r="AA53" s="188">
        <f>AA52+AA51</f>
        <v/>
      </c>
      <c r="AB53" s="188">
        <f>AB52+AB51</f>
        <v/>
      </c>
      <c r="AC53" s="188">
        <f>AC52+AC51</f>
        <v/>
      </c>
      <c r="AD53" s="188">
        <f>AD52+AD51</f>
        <v/>
      </c>
      <c r="AE53" s="188">
        <f>AE52+AE51</f>
        <v/>
      </c>
      <c r="AF53" s="188">
        <f>AF52+AF51</f>
        <v/>
      </c>
      <c r="AG53" s="188">
        <f>AG52+AG51</f>
        <v/>
      </c>
      <c r="AH53" s="188">
        <f>AH52+AH51</f>
        <v/>
      </c>
      <c r="AI53" s="188">
        <f>AI52+AI51</f>
        <v/>
      </c>
      <c r="AJ53" s="188">
        <f>AJ52+AJ51</f>
        <v/>
      </c>
      <c r="AK53" s="188">
        <f>AK52+AK51</f>
        <v/>
      </c>
      <c r="AL53" s="188">
        <f>AL52+AL51</f>
        <v/>
      </c>
      <c r="AM53" s="188">
        <f>AM52+AM51</f>
        <v/>
      </c>
      <c r="AN53" s="188">
        <f>AN52+AN51</f>
        <v/>
      </c>
      <c r="AO53" s="188">
        <f>AO52+AO51</f>
        <v/>
      </c>
      <c r="AP53" s="188">
        <f>AP52+AP51</f>
        <v/>
      </c>
      <c r="AQ53" s="188">
        <f>AQ52+AQ51</f>
        <v/>
      </c>
      <c r="AR53" s="188">
        <f>AR52+AR51</f>
        <v/>
      </c>
      <c r="AS53" s="188">
        <f>AS52+AS51</f>
        <v/>
      </c>
      <c r="AT53" s="188">
        <f>AT52+AT51</f>
        <v/>
      </c>
      <c r="AU53" s="188">
        <f>AU52+AU51</f>
        <v/>
      </c>
      <c r="AV53" s="188">
        <f>AV52+AV51</f>
        <v/>
      </c>
      <c r="AW53" s="188">
        <f>AW52+AW51</f>
        <v/>
      </c>
      <c r="AX53" s="188">
        <f>AX52+AX51</f>
        <v/>
      </c>
      <c r="AY53" s="188">
        <f>AY52+AY51</f>
        <v/>
      </c>
      <c r="AZ53" s="188">
        <f>AZ52+AZ51</f>
        <v/>
      </c>
      <c r="BA53" s="188">
        <f>BA52+BA51</f>
        <v/>
      </c>
      <c r="BB53" s="188">
        <f>BB52+BB51</f>
        <v/>
      </c>
      <c r="BC53" s="188">
        <f>BC52+BC51</f>
        <v/>
      </c>
      <c r="BD53" s="188">
        <f>BD52+BD51</f>
        <v/>
      </c>
      <c r="BE53" s="188">
        <f>BE52+BE51</f>
        <v/>
      </c>
      <c r="BF53" s="188">
        <f>BF52+BF51</f>
        <v/>
      </c>
      <c r="BG53" s="188">
        <f>BG52+BG51</f>
        <v/>
      </c>
      <c r="BH53" s="188">
        <f>BH52+BH51</f>
        <v/>
      </c>
      <c r="BI53" s="188">
        <f>BI52+BI51</f>
        <v/>
      </c>
      <c r="BJ53" s="188">
        <f>BJ52+BJ51</f>
        <v/>
      </c>
      <c r="BL53" s="188">
        <f>N53</f>
        <v/>
      </c>
      <c r="BM53" s="188">
        <f>Z53</f>
        <v/>
      </c>
      <c r="BN53" s="188">
        <f>AL53</f>
        <v/>
      </c>
      <c r="BO53" s="188">
        <f>AX53</f>
        <v/>
      </c>
      <c r="BP53" s="188">
        <f>BJ53</f>
        <v/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6.xml><?xml version="1.0" encoding="utf-8"?>
<worksheet xmlns="http://schemas.openxmlformats.org/spreadsheetml/2006/main">
  <sheetPr filterMode="0">
    <tabColor rgb="FF375623"/>
    <outlinePr summaryBelow="1" summaryRight="1"/>
    <pageSetUpPr fitToPage="0"/>
  </sheetPr>
  <dimension ref="A1:I58"/>
  <sheetViews>
    <sheetView showFormulas="0" showGridLines="1" showRowColHeaders="1" showZeros="1" rightToLeft="0" tabSelected="0" showOutlineSymbols="1" defaultGridColor="1" view="normal" topLeftCell="A6" colorId="64" zoomScale="80" zoomScaleNormal="80" zoomScalePageLayoutView="100" workbookViewId="0">
      <selection pane="topLeft" activeCell="B24" activeCellId="0" sqref="B24"/>
    </sheetView>
  </sheetViews>
  <sheetFormatPr baseColWidth="8" defaultColWidth="8.71484375" defaultRowHeight="15" zeroHeight="0" outlineLevelRow="0"/>
  <cols>
    <col width="42" customWidth="1" style="103" min="1" max="1"/>
    <col width="10" customWidth="1" style="103" min="2" max="7"/>
  </cols>
  <sheetData>
    <row r="1" ht="19.5" customHeight="1" s="104">
      <c r="A1" s="105" t="inlineStr">
        <is>
          <t>Investment Returns Summary</t>
        </is>
      </c>
    </row>
    <row r="3" ht="15" customHeight="1" s="104">
      <c r="A3" s="106" t="inlineStr">
        <is>
          <t>EXIT ASSUMPTIONS</t>
        </is>
      </c>
    </row>
    <row r="4" ht="15" customHeight="1" s="104">
      <c r="A4" s="107" t="inlineStr">
        <is>
          <t>Exit Year (FY1=1 to FY5=5)</t>
        </is>
      </c>
      <c r="B4" s="113" t="n">
        <v>5</v>
      </c>
    </row>
    <row r="5" ht="15" customHeight="1" s="104">
      <c r="A5" s="107" t="inlineStr">
        <is>
          <t>Exit Multiple (x EBITDA)</t>
        </is>
      </c>
      <c r="B5" s="112" t="n">
        <v>6.5</v>
      </c>
    </row>
    <row r="7" ht="15" customHeight="1" s="104">
      <c r="A7" s="106" t="inlineStr">
        <is>
          <t>EXIT METRICS</t>
        </is>
      </c>
    </row>
    <row r="8" ht="15" customHeight="1" s="104">
      <c r="A8" s="107" t="inlineStr">
        <is>
          <t>Consolidated EBITDA at Exit ($mm)</t>
        </is>
      </c>
      <c r="B8" s="189">
        <f>CHOOSE(B4,'Consolidated P&amp;L'!BL23,'Consolidated P&amp;L'!BM23,'Consolidated P&amp;L'!BN23,'Consolidated P&amp;L'!BO23,'Consolidated P&amp;L'!BP23)</f>
        <v/>
      </c>
    </row>
    <row r="9" ht="15" customHeight="1" s="104">
      <c r="A9" s="107" t="inlineStr">
        <is>
          <t>Exit Enterprise Value ($mm)</t>
        </is>
      </c>
      <c r="B9" s="151">
        <f>B8*B5</f>
        <v/>
      </c>
    </row>
    <row r="10" ht="15" customHeight="1" s="104">
      <c r="A10" s="107" t="inlineStr">
        <is>
          <t>Less: Gross Debt at Exit ($mm)</t>
        </is>
      </c>
      <c r="B10" s="189">
        <f>-(CHOOSE(B4,'Debt Schedule'!BL19,'Debt Schedule'!BM19,'Debt Schedule'!BN19,'Debt Schedule'!BO19,'Debt Schedule'!BP19))</f>
        <v/>
      </c>
    </row>
    <row r="11" ht="15" customHeight="1" s="104">
      <c r="A11" s="107" t="inlineStr">
        <is>
          <t>Plus: Cash on Balance Sheet at Exit ($mm)</t>
        </is>
      </c>
      <c r="B11" s="189">
        <f>CHOOSE(B4,'Cash Flow Statement'!BL53,'Cash Flow Statement'!BM53,'Cash Flow Statement'!BN53,'Cash Flow Statement'!BO53,'Cash Flow Statement'!BP53)</f>
        <v/>
      </c>
    </row>
    <row r="12" ht="15" customHeight="1" s="104">
      <c r="A12" s="116" t="inlineStr">
        <is>
          <t>Equity Value at Exit ($mm)</t>
        </is>
      </c>
      <c r="B12" s="151">
        <f>B9+B10+B11</f>
        <v/>
      </c>
    </row>
    <row r="13" ht="15" customHeight="1" s="104"/>
    <row r="14" ht="15" customHeight="1" s="104">
      <c r="A14" s="106" t="inlineStr">
        <is>
          <t>RETURN METRICS</t>
        </is>
      </c>
    </row>
    <row r="15" ht="15" customHeight="1" s="104">
      <c r="A15" s="107" t="inlineStr">
        <is>
          <t>Platform Equity at Close ($mm)</t>
        </is>
      </c>
      <c r="B15" s="189">
        <f>(Assumptions!B5*Assumptions!B6*Assumptions!B7)-'Debt Schedule'!C6</f>
        <v/>
      </c>
    </row>
    <row r="16" ht="15" customHeight="1" s="104">
      <c r="A16" s="107" t="inlineStr">
        <is>
          <t>Total Add-On Equity Contributions ($mm)</t>
        </is>
      </c>
      <c r="B16" s="189">
        <f>SUM('Debt Schedule'!C29:BJ29)+SUM('Debt Schedule'!C30:BJ30)+SUM('Debt Schedule'!C31:BJ31)+SUM('Debt Schedule'!C32:BJ32)+SUM('Debt Schedule'!C33:BJ33)+SUM('Debt Schedule'!C34:BJ34)+SUM('Debt Schedule'!C35:BJ35)+SUM('Debt Schedule'!C36:BJ36)+SUM('Debt Schedule'!C37:BJ37)+SUM('Debt Schedule'!C38:BJ38)</f>
        <v/>
      </c>
    </row>
    <row r="17" ht="15" customHeight="1" s="104">
      <c r="A17" s="116" t="inlineStr">
        <is>
          <t>Total Equity Invested ($mm)</t>
        </is>
      </c>
      <c r="B17" s="151">
        <f>B15+B16</f>
        <v/>
      </c>
    </row>
    <row r="18" ht="15" customHeight="1" s="104">
      <c r="A18" s="107" t="inlineStr">
        <is>
          <t>Equity Value at Exit ($mm)</t>
        </is>
      </c>
      <c r="B18" s="156">
        <f>B12</f>
        <v/>
      </c>
    </row>
    <row r="19" ht="15" customHeight="1" s="104">
      <c r="A19" s="116" t="inlineStr">
        <is>
          <t>MOIC (Gross)</t>
        </is>
      </c>
      <c r="B19" s="190">
        <f>IFERROR(B18/B17,0)</f>
        <v/>
      </c>
    </row>
    <row r="20" ht="15" customHeight="1" s="104">
      <c r="A20" s="116" t="inlineStr">
        <is>
          <t>Gross IRR</t>
        </is>
      </c>
      <c r="B20" s="191">
        <f>IFERROR(POWER(B18/B17,1/B4)-1,0)</f>
        <v/>
      </c>
    </row>
    <row r="21" ht="15" customHeight="1" s="104"/>
    <row r="22" ht="15" customHeight="1" s="104">
      <c r="A22" s="107" t="inlineStr">
        <is>
          <t>Revenue at Exit ($mm)</t>
        </is>
      </c>
      <c r="B22" s="189">
        <f>CHOOSE(B4,'Consolidated P&amp;L'!BL6,'Consolidated P&amp;L'!BM6,'Consolidated P&amp;L'!BN6,'Consolidated P&amp;L'!BO6,'Consolidated P&amp;L'!BP6)</f>
        <v/>
      </c>
    </row>
    <row r="23" ht="15" customHeight="1" s="104">
      <c r="A23" s="107" t="inlineStr">
        <is>
          <t>EBITDA Margin at Exit</t>
        </is>
      </c>
      <c r="B23" s="192">
        <f>IFERROR(B8/B22,0)</f>
        <v/>
      </c>
    </row>
    <row r="24" ht="15" customHeight="1" s="104">
      <c r="A24" s="107" t="inlineStr">
        <is>
          <t>Revenue CAGR (platform base to exit)</t>
        </is>
      </c>
      <c r="B24" s="192">
        <f>IFERROR(POWER(B22/Assumptions!B5,1/B4)-1,0)</f>
        <v/>
      </c>
    </row>
    <row r="26" ht="15" customHeight="1" s="104"/>
    <row r="27" ht="15" customHeight="1" s="104">
      <c r="A27" s="106" t="inlineStr">
        <is>
          <t>MOIC SENSITIVITY</t>
        </is>
      </c>
    </row>
    <row r="28" ht="15" customHeight="1" s="104">
      <c r="A28" s="116" t="inlineStr">
        <is>
          <t>Exit Multiple / Hold Period</t>
        </is>
      </c>
      <c r="B28" s="149" t="inlineStr">
        <is>
          <t>FY 1</t>
        </is>
      </c>
      <c r="C28" s="149" t="inlineStr">
        <is>
          <t>FY 2</t>
        </is>
      </c>
      <c r="D28" s="149" t="inlineStr">
        <is>
          <t>FY 3</t>
        </is>
      </c>
      <c r="E28" s="149" t="inlineStr">
        <is>
          <t>FY 4</t>
        </is>
      </c>
      <c r="F28" s="149" t="inlineStr">
        <is>
          <t>FY 5</t>
        </is>
      </c>
    </row>
    <row r="29" ht="15" customHeight="1" s="104">
      <c r="A29" s="193" t="inlineStr">
        <is>
          <t>4.0x</t>
        </is>
      </c>
      <c r="B29" s="194">
        <f>IFERROR(('Consolidated P&amp;L'!BL23*4-'Debt Schedule'!BL19+'Cash Flow Statement'!BL53)/B17,0)</f>
        <v/>
      </c>
      <c r="C29" s="194">
        <f>IFERROR(('Consolidated P&amp;L'!BM23*4-'Debt Schedule'!BM19+'Cash Flow Statement'!BM53)/B17,0)</f>
        <v/>
      </c>
      <c r="D29" s="194">
        <f>IFERROR(('Consolidated P&amp;L'!BN23*4-'Debt Schedule'!BN19+'Cash Flow Statement'!BN53)/B17,0)</f>
        <v/>
      </c>
      <c r="E29" s="194">
        <f>IFERROR(('Consolidated P&amp;L'!BO23*4-'Debt Schedule'!BO19+'Cash Flow Statement'!BO53)/B17,0)</f>
        <v/>
      </c>
      <c r="F29" s="194">
        <f>IFERROR(('Consolidated P&amp;L'!BP23*4-'Debt Schedule'!BP19+'Cash Flow Statement'!BP53)/B17,0)</f>
        <v/>
      </c>
    </row>
    <row r="30" ht="15" customHeight="1" s="104">
      <c r="A30" s="193" t="inlineStr">
        <is>
          <t>5.0x</t>
        </is>
      </c>
      <c r="B30" s="194">
        <f>IFERROR(('Consolidated P&amp;L'!BL23*5-'Debt Schedule'!BL19+'Cash Flow Statement'!BL53)/B17,0)</f>
        <v/>
      </c>
      <c r="C30" s="194">
        <f>IFERROR(('Consolidated P&amp;L'!BM23*5-'Debt Schedule'!BM19+'Cash Flow Statement'!BM53)/B17,0)</f>
        <v/>
      </c>
      <c r="D30" s="194">
        <f>IFERROR(('Consolidated P&amp;L'!BN23*5-'Debt Schedule'!BN19+'Cash Flow Statement'!BN53)/B17,0)</f>
        <v/>
      </c>
      <c r="E30" s="194">
        <f>IFERROR(('Consolidated P&amp;L'!BO23*5-'Debt Schedule'!BO19+'Cash Flow Statement'!BO53)/B17,0)</f>
        <v/>
      </c>
      <c r="F30" s="194">
        <f>IFERROR(('Consolidated P&amp;L'!BP23*5-'Debt Schedule'!BP19+'Cash Flow Statement'!BP53)/B17,0)</f>
        <v/>
      </c>
    </row>
    <row r="31" ht="15" customHeight="1" s="104">
      <c r="A31" s="193" t="inlineStr">
        <is>
          <t>6.0x</t>
        </is>
      </c>
      <c r="B31" s="194">
        <f>IFERROR(('Consolidated P&amp;L'!BL23*6-'Debt Schedule'!BL19+'Cash Flow Statement'!BL53)/B17,0)</f>
        <v/>
      </c>
      <c r="C31" s="194">
        <f>IFERROR(('Consolidated P&amp;L'!BM23*6-'Debt Schedule'!BM19+'Cash Flow Statement'!BM53)/B17,0)</f>
        <v/>
      </c>
      <c r="D31" s="194">
        <f>IFERROR(('Consolidated P&amp;L'!BN23*6-'Debt Schedule'!BN19+'Cash Flow Statement'!BN53)/B17,0)</f>
        <v/>
      </c>
      <c r="E31" s="194">
        <f>IFERROR(('Consolidated P&amp;L'!BO23*6-'Debt Schedule'!BO19+'Cash Flow Statement'!BO53)/B17,0)</f>
        <v/>
      </c>
      <c r="F31" s="194">
        <f>IFERROR(('Consolidated P&amp;L'!BP23*6-'Debt Schedule'!BP19+'Cash Flow Statement'!BP53)/B17,0)</f>
        <v/>
      </c>
    </row>
    <row r="32" ht="15" customHeight="1" s="104">
      <c r="A32" s="193" t="inlineStr">
        <is>
          <t>6.5x</t>
        </is>
      </c>
      <c r="B32" s="195">
        <f>IFERROR(('Consolidated P&amp;L'!BL23*6.5-'Debt Schedule'!BL19+'Cash Flow Statement'!BL53)/B17,0)</f>
        <v/>
      </c>
      <c r="C32" s="195">
        <f>IFERROR(('Consolidated P&amp;L'!BM23*6.5-'Debt Schedule'!BM19+'Cash Flow Statement'!BM53)/B17,0)</f>
        <v/>
      </c>
      <c r="D32" s="195">
        <f>IFERROR(('Consolidated P&amp;L'!BN23*6.5-'Debt Schedule'!BN19+'Cash Flow Statement'!BN53)/B17,0)</f>
        <v/>
      </c>
      <c r="E32" s="195">
        <f>IFERROR(('Consolidated P&amp;L'!BO23*6.5-'Debt Schedule'!BO19+'Cash Flow Statement'!BO53)/B17,0)</f>
        <v/>
      </c>
      <c r="F32" s="195">
        <f>IFERROR(('Consolidated P&amp;L'!BP23*6.5-'Debt Schedule'!BP19+'Cash Flow Statement'!BP53)/B17,0)</f>
        <v/>
      </c>
    </row>
    <row r="33" ht="15" customHeight="1" s="104">
      <c r="A33" s="193" t="inlineStr">
        <is>
          <t>7.0x</t>
        </is>
      </c>
      <c r="B33" s="194">
        <f>IFERROR(('Consolidated P&amp;L'!BL23*7-'Debt Schedule'!BL19+'Cash Flow Statement'!BL53)/B17,0)</f>
        <v/>
      </c>
      <c r="C33" s="194">
        <f>IFERROR(('Consolidated P&amp;L'!BM23*7-'Debt Schedule'!BM19+'Cash Flow Statement'!BM53)/B17,0)</f>
        <v/>
      </c>
      <c r="D33" s="194">
        <f>IFERROR(('Consolidated P&amp;L'!BN23*7-'Debt Schedule'!BN19+'Cash Flow Statement'!BN53)/B17,0)</f>
        <v/>
      </c>
      <c r="E33" s="194">
        <f>IFERROR(('Consolidated P&amp;L'!BO23*7-'Debt Schedule'!BO19+'Cash Flow Statement'!BO53)/B17,0)</f>
        <v/>
      </c>
      <c r="F33" s="194">
        <f>IFERROR(('Consolidated P&amp;L'!BP23*7-'Debt Schedule'!BP19+'Cash Flow Statement'!BP53)/B17,0)</f>
        <v/>
      </c>
    </row>
    <row r="34" ht="15" customHeight="1" s="104">
      <c r="A34" s="193" t="inlineStr">
        <is>
          <t>8.0x</t>
        </is>
      </c>
      <c r="B34" s="194">
        <f>IFERROR(('Consolidated P&amp;L'!BL23*8-'Debt Schedule'!BL19+'Cash Flow Statement'!BL53)/B17,0)</f>
        <v/>
      </c>
      <c r="C34" s="194">
        <f>IFERROR(('Consolidated P&amp;L'!BM23*8-'Debt Schedule'!BM19+'Cash Flow Statement'!BM53)/B17,0)</f>
        <v/>
      </c>
      <c r="D34" s="194">
        <f>IFERROR(('Consolidated P&amp;L'!BN23*8-'Debt Schedule'!BN19+'Cash Flow Statement'!BN53)/B17,0)</f>
        <v/>
      </c>
      <c r="E34" s="194">
        <f>IFERROR(('Consolidated P&amp;L'!BO23*8-'Debt Schedule'!BO19+'Cash Flow Statement'!BO53)/B17,0)</f>
        <v/>
      </c>
      <c r="F34" s="194">
        <f>IFERROR(('Consolidated P&amp;L'!BP23*8-'Debt Schedule'!BP19+'Cash Flow Statement'!BP53)/B17,0)</f>
        <v/>
      </c>
    </row>
    <row r="37" ht="13.5" customHeight="1" s="104">
      <c r="A37" s="106" t="inlineStr">
        <is>
          <t>SENSITIVITY ANALYSIS – FY5 EXIT (MOIC &amp; IRR vs. Exit Multiple and Revenue Growth)</t>
        </is>
      </c>
      <c r="B37" s="171" t="n"/>
      <c r="C37" s="171" t="n"/>
      <c r="D37" s="171" t="n"/>
      <c r="E37" s="171" t="n"/>
      <c r="F37" s="171" t="n"/>
      <c r="G37" s="171" t="n"/>
      <c r="H37" s="171" t="n"/>
      <c r="I37" s="171" t="n"/>
    </row>
    <row r="38" ht="6" customHeight="1" s="104"/>
    <row r="39" ht="15" customHeight="1" s="104">
      <c r="A39" s="196" t="inlineStr">
        <is>
          <t>MOIC  |  Exit Multiple vs. Blended Revenue Growth  (FY5 hold period)</t>
        </is>
      </c>
      <c r="B39" s="172" t="n"/>
      <c r="C39" s="172" t="n"/>
      <c r="D39" s="172" t="n"/>
      <c r="E39" s="172" t="n"/>
      <c r="F39" s="172" t="n"/>
      <c r="G39" s="172" t="n"/>
      <c r="H39" s="172" t="n"/>
      <c r="I39" s="172" t="n"/>
    </row>
    <row r="40" ht="15" customHeight="1" s="104">
      <c r="A40" s="197" t="inlineStr">
        <is>
          <t>Exit Multiple  ↓   /   Revenue Growth  →</t>
        </is>
      </c>
      <c r="B40" s="198" t="inlineStr">
        <is>
          <t>3%</t>
        </is>
      </c>
      <c r="C40" s="198" t="inlineStr">
        <is>
          <t>5%</t>
        </is>
      </c>
      <c r="D40" s="198" t="inlineStr">
        <is>
          <t>7%</t>
        </is>
      </c>
      <c r="E40" s="198" t="inlineStr">
        <is>
          <t>8%</t>
        </is>
      </c>
      <c r="F40" s="198" t="inlineStr">
        <is>
          <t>10%</t>
        </is>
      </c>
      <c r="G40" s="198" t="inlineStr">
        <is>
          <t>12%</t>
        </is>
      </c>
      <c r="H40" s="172" t="n"/>
      <c r="I40" s="172" t="n"/>
    </row>
    <row r="41" ht="15" customHeight="1" s="104">
      <c r="A41" s="107" t="inlineStr">
        <is>
          <t>4.0x</t>
        </is>
      </c>
      <c r="B41" s="194">
        <f>IFERROR(((('Consolidated P&amp;L'!BP23*(POWER(1+0.03,5)/((1+Assumptions!B17)*(1+Assumptions!B18)*(1+Assumptions!B19)*(1+Assumptions!B20)*(1+Assumptions!B21))))*4)-'Debt Schedule'!BP19+'Cash Flow Statement'!BP53)/B17,0)</f>
        <v/>
      </c>
      <c r="C41" s="194">
        <f>IFERROR(((('Consolidated P&amp;L'!BP23*(POWER(1+0.05,5)/((1+Assumptions!B17)*(1+Assumptions!B18)*(1+Assumptions!B19)*(1+Assumptions!B20)*(1+Assumptions!B21))))*4)-'Debt Schedule'!BP19+'Cash Flow Statement'!BP53)/B17,0)</f>
        <v/>
      </c>
      <c r="D41" s="194">
        <f>IFERROR(((('Consolidated P&amp;L'!BP23*(POWER(1+0.07,5)/((1+Assumptions!B17)*(1+Assumptions!B18)*(1+Assumptions!B19)*(1+Assumptions!B20)*(1+Assumptions!B21))))*4)-'Debt Schedule'!BP19+'Cash Flow Statement'!BP53)/B17,0)</f>
        <v/>
      </c>
      <c r="E41" s="194">
        <f>IFERROR(((('Consolidated P&amp;L'!BP23*(POWER(1+0.08,5)/((1+Assumptions!B17)*(1+Assumptions!B18)*(1+Assumptions!B19)*(1+Assumptions!B20)*(1+Assumptions!B21))))*4)-'Debt Schedule'!BP19+'Cash Flow Statement'!BP53)/B17,0)</f>
        <v/>
      </c>
      <c r="F41" s="194">
        <f>IFERROR(((('Consolidated P&amp;L'!BP23*(POWER(1+0.1,5)/((1+Assumptions!B17)*(1+Assumptions!B18)*(1+Assumptions!B19)*(1+Assumptions!B20)*(1+Assumptions!B21))))*4)-'Debt Schedule'!BP19+'Cash Flow Statement'!BP53)/B17,0)</f>
        <v/>
      </c>
      <c r="G41" s="194">
        <f>IFERROR(((('Consolidated P&amp;L'!BP23*(POWER(1+0.12,5)/((1+Assumptions!B17)*(1+Assumptions!B18)*(1+Assumptions!B19)*(1+Assumptions!B20)*(1+Assumptions!B21))))*4)-'Debt Schedule'!BP19+'Cash Flow Statement'!BP53)/B17,0)</f>
        <v/>
      </c>
    </row>
    <row r="42" ht="15" customHeight="1" s="104">
      <c r="A42" s="107" t="inlineStr">
        <is>
          <t>5.0x</t>
        </is>
      </c>
      <c r="B42" s="194">
        <f>IFERROR(((('Consolidated P&amp;L'!BP23*(POWER(1+0.03,5)/((1+Assumptions!B17)*(1+Assumptions!B18)*(1+Assumptions!B19)*(1+Assumptions!B20)*(1+Assumptions!B21))))*5)-'Debt Schedule'!BP19+'Cash Flow Statement'!BP53)/B17,0)</f>
        <v/>
      </c>
      <c r="C42" s="194">
        <f>IFERROR(((('Consolidated P&amp;L'!BP23*(POWER(1+0.05,5)/((1+Assumptions!B17)*(1+Assumptions!B18)*(1+Assumptions!B19)*(1+Assumptions!B20)*(1+Assumptions!B21))))*5)-'Debt Schedule'!BP19+'Cash Flow Statement'!BP53)/B17,0)</f>
        <v/>
      </c>
      <c r="D42" s="194">
        <f>IFERROR(((('Consolidated P&amp;L'!BP23*(POWER(1+0.07,5)/((1+Assumptions!B17)*(1+Assumptions!B18)*(1+Assumptions!B19)*(1+Assumptions!B20)*(1+Assumptions!B21))))*5)-'Debt Schedule'!BP19+'Cash Flow Statement'!BP53)/B17,0)</f>
        <v/>
      </c>
      <c r="E42" s="194">
        <f>IFERROR(((('Consolidated P&amp;L'!BP23*(POWER(1+0.08,5)/((1+Assumptions!B17)*(1+Assumptions!B18)*(1+Assumptions!B19)*(1+Assumptions!B20)*(1+Assumptions!B21))))*5)-'Debt Schedule'!BP19+'Cash Flow Statement'!BP53)/B17,0)</f>
        <v/>
      </c>
      <c r="F42" s="194">
        <f>IFERROR(((('Consolidated P&amp;L'!BP23*(POWER(1+0.1,5)/((1+Assumptions!B17)*(1+Assumptions!B18)*(1+Assumptions!B19)*(1+Assumptions!B20)*(1+Assumptions!B21))))*5)-'Debt Schedule'!BP19+'Cash Flow Statement'!BP53)/B17,0)</f>
        <v/>
      </c>
      <c r="G42" s="194">
        <f>IFERROR(((('Consolidated P&amp;L'!BP23*(POWER(1+0.12,5)/((1+Assumptions!B17)*(1+Assumptions!B18)*(1+Assumptions!B19)*(1+Assumptions!B20)*(1+Assumptions!B21))))*5)-'Debt Schedule'!BP19+'Cash Flow Statement'!BP53)/B17,0)</f>
        <v/>
      </c>
    </row>
    <row r="43" ht="15" customHeight="1" s="104">
      <c r="A43" s="107" t="inlineStr">
        <is>
          <t>6.0x</t>
        </is>
      </c>
      <c r="B43" s="194">
        <f>IFERROR(((('Consolidated P&amp;L'!BP23*(POWER(1+0.03,5)/((1+Assumptions!B17)*(1+Assumptions!B18)*(1+Assumptions!B19)*(1+Assumptions!B20)*(1+Assumptions!B21))))*6)-'Debt Schedule'!BP19+'Cash Flow Statement'!BP53)/B17,0)</f>
        <v/>
      </c>
      <c r="C43" s="194">
        <f>IFERROR(((('Consolidated P&amp;L'!BP23*(POWER(1+0.05,5)/((1+Assumptions!B17)*(1+Assumptions!B18)*(1+Assumptions!B19)*(1+Assumptions!B20)*(1+Assumptions!B21))))*6)-'Debt Schedule'!BP19+'Cash Flow Statement'!BP53)/B17,0)</f>
        <v/>
      </c>
      <c r="D43" s="194">
        <f>IFERROR(((('Consolidated P&amp;L'!BP23*(POWER(1+0.07,5)/((1+Assumptions!B17)*(1+Assumptions!B18)*(1+Assumptions!B19)*(1+Assumptions!B20)*(1+Assumptions!B21))))*6)-'Debt Schedule'!BP19+'Cash Flow Statement'!BP53)/B17,0)</f>
        <v/>
      </c>
      <c r="E43" s="194">
        <f>IFERROR(((('Consolidated P&amp;L'!BP23*(POWER(1+0.08,5)/((1+Assumptions!B17)*(1+Assumptions!B18)*(1+Assumptions!B19)*(1+Assumptions!B20)*(1+Assumptions!B21))))*6)-'Debt Schedule'!BP19+'Cash Flow Statement'!BP53)/B17,0)</f>
        <v/>
      </c>
      <c r="F43" s="194">
        <f>IFERROR(((('Consolidated P&amp;L'!BP23*(POWER(1+0.1,5)/((1+Assumptions!B17)*(1+Assumptions!B18)*(1+Assumptions!B19)*(1+Assumptions!B20)*(1+Assumptions!B21))))*6)-'Debt Schedule'!BP19+'Cash Flow Statement'!BP53)/B17,0)</f>
        <v/>
      </c>
      <c r="G43" s="194">
        <f>IFERROR(((('Consolidated P&amp;L'!BP23*(POWER(1+0.12,5)/((1+Assumptions!B17)*(1+Assumptions!B18)*(1+Assumptions!B19)*(1+Assumptions!B20)*(1+Assumptions!B21))))*6)-'Debt Schedule'!BP19+'Cash Flow Statement'!BP53)/B17,0)</f>
        <v/>
      </c>
    </row>
    <row r="44" ht="15" customHeight="1" s="104">
      <c r="A44" s="187" t="inlineStr">
        <is>
          <t>6.5x</t>
        </is>
      </c>
      <c r="B44" s="195">
        <f>IFERROR(((('Consolidated P&amp;L'!BP23*(POWER(1+0.03,5)/((1+Assumptions!B17)*(1+Assumptions!B18)*(1+Assumptions!B19)*(1+Assumptions!B20)*(1+Assumptions!B21))))*6.5)-'Debt Schedule'!BP19+'Cash Flow Statement'!BP53)/B17,0)</f>
        <v/>
      </c>
      <c r="C44" s="195">
        <f>IFERROR(((('Consolidated P&amp;L'!BP23*(POWER(1+0.05,5)/((1+Assumptions!B17)*(1+Assumptions!B18)*(1+Assumptions!B19)*(1+Assumptions!B20)*(1+Assumptions!B21))))*6.5)-'Debt Schedule'!BP19+'Cash Flow Statement'!BP53)/B17,0)</f>
        <v/>
      </c>
      <c r="D44" s="195">
        <f>IFERROR(((('Consolidated P&amp;L'!BP23*(POWER(1+0.07,5)/((1+Assumptions!B17)*(1+Assumptions!B18)*(1+Assumptions!B19)*(1+Assumptions!B20)*(1+Assumptions!B21))))*6.5)-'Debt Schedule'!BP19+'Cash Flow Statement'!BP53)/B17,0)</f>
        <v/>
      </c>
      <c r="E44" s="195">
        <f>IFERROR(((('Consolidated P&amp;L'!BP23*(POWER(1+0.08,5)/((1+Assumptions!B17)*(1+Assumptions!B18)*(1+Assumptions!B19)*(1+Assumptions!B20)*(1+Assumptions!B21))))*6.5)-'Debt Schedule'!BP19+'Cash Flow Statement'!BP53)/B17,0)</f>
        <v/>
      </c>
      <c r="F44" s="195">
        <f>IFERROR(((('Consolidated P&amp;L'!BP23*(POWER(1+0.1,5)/((1+Assumptions!B17)*(1+Assumptions!B18)*(1+Assumptions!B19)*(1+Assumptions!B20)*(1+Assumptions!B21))))*6.5)-'Debt Schedule'!BP19+'Cash Flow Statement'!BP53)/B17,0)</f>
        <v/>
      </c>
      <c r="G44" s="195">
        <f>IFERROR(((('Consolidated P&amp;L'!BP23*(POWER(1+0.12,5)/((1+Assumptions!B17)*(1+Assumptions!B18)*(1+Assumptions!B19)*(1+Assumptions!B20)*(1+Assumptions!B21))))*6.5)-'Debt Schedule'!BP19+'Cash Flow Statement'!BP53)/B17,0)</f>
        <v/>
      </c>
    </row>
    <row r="45" ht="15" customHeight="1" s="104">
      <c r="A45" s="107" t="inlineStr">
        <is>
          <t>7.0x</t>
        </is>
      </c>
      <c r="B45" s="194">
        <f>IFERROR(((('Consolidated P&amp;L'!BP23*(POWER(1+0.03,5)/((1+Assumptions!B17)*(1+Assumptions!B18)*(1+Assumptions!B19)*(1+Assumptions!B20)*(1+Assumptions!B21))))*7)-'Debt Schedule'!BP19+'Cash Flow Statement'!BP53)/B17,0)</f>
        <v/>
      </c>
      <c r="C45" s="194">
        <f>IFERROR(((('Consolidated P&amp;L'!BP23*(POWER(1+0.05,5)/((1+Assumptions!B17)*(1+Assumptions!B18)*(1+Assumptions!B19)*(1+Assumptions!B20)*(1+Assumptions!B21))))*7)-'Debt Schedule'!BP19+'Cash Flow Statement'!BP53)/B17,0)</f>
        <v/>
      </c>
      <c r="D45" s="194">
        <f>IFERROR(((('Consolidated P&amp;L'!BP23*(POWER(1+0.07,5)/((1+Assumptions!B17)*(1+Assumptions!B18)*(1+Assumptions!B19)*(1+Assumptions!B20)*(1+Assumptions!B21))))*7)-'Debt Schedule'!BP19+'Cash Flow Statement'!BP53)/B17,0)</f>
        <v/>
      </c>
      <c r="E45" s="194">
        <f>IFERROR(((('Consolidated P&amp;L'!BP23*(POWER(1+0.08,5)/((1+Assumptions!B17)*(1+Assumptions!B18)*(1+Assumptions!B19)*(1+Assumptions!B20)*(1+Assumptions!B21))))*7)-'Debt Schedule'!BP19+'Cash Flow Statement'!BP53)/B17,0)</f>
        <v/>
      </c>
      <c r="F45" s="194">
        <f>IFERROR(((('Consolidated P&amp;L'!BP23*(POWER(1+0.1,5)/((1+Assumptions!B17)*(1+Assumptions!B18)*(1+Assumptions!B19)*(1+Assumptions!B20)*(1+Assumptions!B21))))*7)-'Debt Schedule'!BP19+'Cash Flow Statement'!BP53)/B17,0)</f>
        <v/>
      </c>
      <c r="G45" s="194">
        <f>IFERROR(((('Consolidated P&amp;L'!BP23*(POWER(1+0.12,5)/((1+Assumptions!B17)*(1+Assumptions!B18)*(1+Assumptions!B19)*(1+Assumptions!B20)*(1+Assumptions!B21))))*7)-'Debt Schedule'!BP19+'Cash Flow Statement'!BP53)/B17,0)</f>
        <v/>
      </c>
    </row>
    <row r="46" ht="15" customHeight="1" s="104">
      <c r="A46" s="107" t="inlineStr">
        <is>
          <t>8.0x</t>
        </is>
      </c>
      <c r="B46" s="194">
        <f>IFERROR(((('Consolidated P&amp;L'!BP23*(POWER(1+0.03,5)/((1+Assumptions!B17)*(1+Assumptions!B18)*(1+Assumptions!B19)*(1+Assumptions!B20)*(1+Assumptions!B21))))*8)-'Debt Schedule'!BP19+'Cash Flow Statement'!BP53)/B17,0)</f>
        <v/>
      </c>
      <c r="C46" s="194">
        <f>IFERROR(((('Consolidated P&amp;L'!BP23*(POWER(1+0.05,5)/((1+Assumptions!B17)*(1+Assumptions!B18)*(1+Assumptions!B19)*(1+Assumptions!B20)*(1+Assumptions!B21))))*8)-'Debt Schedule'!BP19+'Cash Flow Statement'!BP53)/B17,0)</f>
        <v/>
      </c>
      <c r="D46" s="194">
        <f>IFERROR(((('Consolidated P&amp;L'!BP23*(POWER(1+0.07,5)/((1+Assumptions!B17)*(1+Assumptions!B18)*(1+Assumptions!B19)*(1+Assumptions!B20)*(1+Assumptions!B21))))*8)-'Debt Schedule'!BP19+'Cash Flow Statement'!BP53)/B17,0)</f>
        <v/>
      </c>
      <c r="E46" s="194">
        <f>IFERROR(((('Consolidated P&amp;L'!BP23*(POWER(1+0.08,5)/((1+Assumptions!B17)*(1+Assumptions!B18)*(1+Assumptions!B19)*(1+Assumptions!B20)*(1+Assumptions!B21))))*8)-'Debt Schedule'!BP19+'Cash Flow Statement'!BP53)/B17,0)</f>
        <v/>
      </c>
      <c r="F46" s="194">
        <f>IFERROR(((('Consolidated P&amp;L'!BP23*(POWER(1+0.1,5)/((1+Assumptions!B17)*(1+Assumptions!B18)*(1+Assumptions!B19)*(1+Assumptions!B20)*(1+Assumptions!B21))))*8)-'Debt Schedule'!BP19+'Cash Flow Statement'!BP53)/B17,0)</f>
        <v/>
      </c>
      <c r="G46" s="194">
        <f>IFERROR(((('Consolidated P&amp;L'!BP23*(POWER(1+0.12,5)/((1+Assumptions!B17)*(1+Assumptions!B18)*(1+Assumptions!B19)*(1+Assumptions!B20)*(1+Assumptions!B21))))*8)-'Debt Schedule'!BP19+'Cash Flow Statement'!BP53)/B17,0)</f>
        <v/>
      </c>
    </row>
    <row r="47" ht="15" customHeight="1" s="104">
      <c r="A47" s="107" t="inlineStr">
        <is>
          <t>10.0x</t>
        </is>
      </c>
      <c r="B47" s="194">
        <f>IFERROR(((('Consolidated P&amp;L'!BP23*(POWER(1+0.03,5)/((1+Assumptions!B17)*(1+Assumptions!B18)*(1+Assumptions!B19)*(1+Assumptions!B20)*(1+Assumptions!B21))))*10)-'Debt Schedule'!BP19+'Cash Flow Statement'!BP53)/B17,0)</f>
        <v/>
      </c>
      <c r="C47" s="194">
        <f>IFERROR(((('Consolidated P&amp;L'!BP23*(POWER(1+0.05,5)/((1+Assumptions!B17)*(1+Assumptions!B18)*(1+Assumptions!B19)*(1+Assumptions!B20)*(1+Assumptions!B21))))*10)-'Debt Schedule'!BP19+'Cash Flow Statement'!BP53)/B17,0)</f>
        <v/>
      </c>
      <c r="D47" s="194">
        <f>IFERROR(((('Consolidated P&amp;L'!BP23*(POWER(1+0.07,5)/((1+Assumptions!B17)*(1+Assumptions!B18)*(1+Assumptions!B19)*(1+Assumptions!B20)*(1+Assumptions!B21))))*10)-'Debt Schedule'!BP19+'Cash Flow Statement'!BP53)/B17,0)</f>
        <v/>
      </c>
      <c r="E47" s="194">
        <f>IFERROR(((('Consolidated P&amp;L'!BP23*(POWER(1+0.08,5)/((1+Assumptions!B17)*(1+Assumptions!B18)*(1+Assumptions!B19)*(1+Assumptions!B20)*(1+Assumptions!B21))))*10)-'Debt Schedule'!BP19+'Cash Flow Statement'!BP53)/B17,0)</f>
        <v/>
      </c>
      <c r="F47" s="194">
        <f>IFERROR(((('Consolidated P&amp;L'!BP23*(POWER(1+0.1,5)/((1+Assumptions!B17)*(1+Assumptions!B18)*(1+Assumptions!B19)*(1+Assumptions!B20)*(1+Assumptions!B21))))*10)-'Debt Schedule'!BP19+'Cash Flow Statement'!BP53)/B17,0)</f>
        <v/>
      </c>
      <c r="G47" s="194">
        <f>IFERROR(((('Consolidated P&amp;L'!BP23*(POWER(1+0.12,5)/((1+Assumptions!B17)*(1+Assumptions!B18)*(1+Assumptions!B19)*(1+Assumptions!B20)*(1+Assumptions!B21))))*10)-'Debt Schedule'!BP19+'Cash Flow Statement'!BP53)/B17,0)</f>
        <v/>
      </c>
    </row>
    <row r="49" ht="6" customHeight="1" s="104"/>
    <row r="50" ht="15" customHeight="1" s="104">
      <c r="A50" s="196" t="inlineStr">
        <is>
          <t>Gross IRR  |  Exit Multiple vs. Blended Revenue Growth  (FY5 hold period)</t>
        </is>
      </c>
      <c r="B50" s="172" t="n"/>
      <c r="C50" s="172" t="n"/>
      <c r="D50" s="172" t="n"/>
      <c r="E50" s="172" t="n"/>
      <c r="F50" s="172" t="n"/>
      <c r="G50" s="172" t="n"/>
      <c r="H50" s="172" t="n"/>
      <c r="I50" s="172" t="n"/>
    </row>
    <row r="51" ht="15" customHeight="1" s="104">
      <c r="A51" s="197" t="inlineStr">
        <is>
          <t>Exit Multiple  ↓   /   Revenue Growth  →</t>
        </is>
      </c>
      <c r="B51" s="198" t="inlineStr">
        <is>
          <t>3%</t>
        </is>
      </c>
      <c r="C51" s="198" t="inlineStr">
        <is>
          <t>5%</t>
        </is>
      </c>
      <c r="D51" s="198" t="inlineStr">
        <is>
          <t>7%</t>
        </is>
      </c>
      <c r="E51" s="198" t="inlineStr">
        <is>
          <t>8%</t>
        </is>
      </c>
      <c r="F51" s="198" t="inlineStr">
        <is>
          <t>10%</t>
        </is>
      </c>
      <c r="G51" s="198" t="inlineStr">
        <is>
          <t>12%</t>
        </is>
      </c>
      <c r="H51" s="172" t="n"/>
      <c r="I51" s="172" t="n"/>
    </row>
    <row r="52" ht="15" customHeight="1" s="104">
      <c r="A52" s="107" t="inlineStr">
        <is>
          <t>4.0x</t>
        </is>
      </c>
      <c r="B52" s="199">
        <f>IFERROR(POWER(((('Consolidated P&amp;L'!BP23*(POWER(1+0.03,5)/((1+Assumptions!B17)*(1+Assumptions!B18)*(1+Assumptions!B19)*(1+Assumptions!B20)*(1+Assumptions!B21))))*4)-'Debt Schedule'!BP19+'Cash Flow Statement'!BP53)/B17,1/5)-1,0)</f>
        <v/>
      </c>
      <c r="C52" s="199">
        <f>IFERROR(POWER(((('Consolidated P&amp;L'!BP23*(POWER(1+0.05,5)/((1+Assumptions!B17)*(1+Assumptions!B18)*(1+Assumptions!B19)*(1+Assumptions!B20)*(1+Assumptions!B21))))*4)-'Debt Schedule'!BP19+'Cash Flow Statement'!BP53)/B17,1/5)-1,0)</f>
        <v/>
      </c>
      <c r="D52" s="199">
        <f>IFERROR(POWER(((('Consolidated P&amp;L'!BP23*(POWER(1+0.07,5)/((1+Assumptions!B17)*(1+Assumptions!B18)*(1+Assumptions!B19)*(1+Assumptions!B20)*(1+Assumptions!B21))))*4)-'Debt Schedule'!BP19+'Cash Flow Statement'!BP53)/B17,1/5)-1,0)</f>
        <v/>
      </c>
      <c r="E52" s="199">
        <f>IFERROR(POWER(((('Consolidated P&amp;L'!BP23*(POWER(1+0.08,5)/((1+Assumptions!B17)*(1+Assumptions!B18)*(1+Assumptions!B19)*(1+Assumptions!B20)*(1+Assumptions!B21))))*4)-'Debt Schedule'!BP19+'Cash Flow Statement'!BP53)/B17,1/5)-1,0)</f>
        <v/>
      </c>
      <c r="F52" s="199">
        <f>IFERROR(POWER(((('Consolidated P&amp;L'!BP23*(POWER(1+0.1,5)/((1+Assumptions!B17)*(1+Assumptions!B18)*(1+Assumptions!B19)*(1+Assumptions!B20)*(1+Assumptions!B21))))*4)-'Debt Schedule'!BP19+'Cash Flow Statement'!BP53)/B17,1/5)-1,0)</f>
        <v/>
      </c>
      <c r="G52" s="199">
        <f>IFERROR(POWER(((('Consolidated P&amp;L'!BP23*(POWER(1+0.12,5)/((1+Assumptions!B17)*(1+Assumptions!B18)*(1+Assumptions!B19)*(1+Assumptions!B20)*(1+Assumptions!B21))))*4)-'Debt Schedule'!BP19+'Cash Flow Statement'!BP53)/B17,1/5)-1,0)</f>
        <v/>
      </c>
    </row>
    <row r="53" ht="15" customHeight="1" s="104">
      <c r="A53" s="107" t="inlineStr">
        <is>
          <t>5.0x</t>
        </is>
      </c>
      <c r="B53" s="199">
        <f>IFERROR(POWER(((('Consolidated P&amp;L'!BP23*(POWER(1+0.03,5)/((1+Assumptions!B17)*(1+Assumptions!B18)*(1+Assumptions!B19)*(1+Assumptions!B20)*(1+Assumptions!B21))))*5)-'Debt Schedule'!BP19+'Cash Flow Statement'!BP53)/B17,1/5)-1,0)</f>
        <v/>
      </c>
      <c r="C53" s="199">
        <f>IFERROR(POWER(((('Consolidated P&amp;L'!BP23*(POWER(1+0.05,5)/((1+Assumptions!B17)*(1+Assumptions!B18)*(1+Assumptions!B19)*(1+Assumptions!B20)*(1+Assumptions!B21))))*5)-'Debt Schedule'!BP19+'Cash Flow Statement'!BP53)/B17,1/5)-1,0)</f>
        <v/>
      </c>
      <c r="D53" s="199">
        <f>IFERROR(POWER(((('Consolidated P&amp;L'!BP23*(POWER(1+0.07,5)/((1+Assumptions!B17)*(1+Assumptions!B18)*(1+Assumptions!B19)*(1+Assumptions!B20)*(1+Assumptions!B21))))*5)-'Debt Schedule'!BP19+'Cash Flow Statement'!BP53)/B17,1/5)-1,0)</f>
        <v/>
      </c>
      <c r="E53" s="199">
        <f>IFERROR(POWER(((('Consolidated P&amp;L'!BP23*(POWER(1+0.08,5)/((1+Assumptions!B17)*(1+Assumptions!B18)*(1+Assumptions!B19)*(1+Assumptions!B20)*(1+Assumptions!B21))))*5)-'Debt Schedule'!BP19+'Cash Flow Statement'!BP53)/B17,1/5)-1,0)</f>
        <v/>
      </c>
      <c r="F53" s="199">
        <f>IFERROR(POWER(((('Consolidated P&amp;L'!BP23*(POWER(1+0.1,5)/((1+Assumptions!B17)*(1+Assumptions!B18)*(1+Assumptions!B19)*(1+Assumptions!B20)*(1+Assumptions!B21))))*5)-'Debt Schedule'!BP19+'Cash Flow Statement'!BP53)/B17,1/5)-1,0)</f>
        <v/>
      </c>
      <c r="G53" s="199">
        <f>IFERROR(POWER(((('Consolidated P&amp;L'!BP23*(POWER(1+0.12,5)/((1+Assumptions!B17)*(1+Assumptions!B18)*(1+Assumptions!B19)*(1+Assumptions!B20)*(1+Assumptions!B21))))*5)-'Debt Schedule'!BP19+'Cash Flow Statement'!BP53)/B17,1/5)-1,0)</f>
        <v/>
      </c>
    </row>
    <row r="54" ht="15" customHeight="1" s="104">
      <c r="A54" s="107" t="inlineStr">
        <is>
          <t>6.0x</t>
        </is>
      </c>
      <c r="B54" s="199">
        <f>IFERROR(POWER(((('Consolidated P&amp;L'!BP23*(POWER(1+0.03,5)/((1+Assumptions!B17)*(1+Assumptions!B18)*(1+Assumptions!B19)*(1+Assumptions!B20)*(1+Assumptions!B21))))*6)-'Debt Schedule'!BP19+'Cash Flow Statement'!BP53)/B17,1/5)-1,0)</f>
        <v/>
      </c>
      <c r="C54" s="199">
        <f>IFERROR(POWER(((('Consolidated P&amp;L'!BP23*(POWER(1+0.05,5)/((1+Assumptions!B17)*(1+Assumptions!B18)*(1+Assumptions!B19)*(1+Assumptions!B20)*(1+Assumptions!B21))))*6)-'Debt Schedule'!BP19+'Cash Flow Statement'!BP53)/B17,1/5)-1,0)</f>
        <v/>
      </c>
      <c r="D54" s="199">
        <f>IFERROR(POWER(((('Consolidated P&amp;L'!BP23*(POWER(1+0.07,5)/((1+Assumptions!B17)*(1+Assumptions!B18)*(1+Assumptions!B19)*(1+Assumptions!B20)*(1+Assumptions!B21))))*6)-'Debt Schedule'!BP19+'Cash Flow Statement'!BP53)/B17,1/5)-1,0)</f>
        <v/>
      </c>
      <c r="E54" s="199">
        <f>IFERROR(POWER(((('Consolidated P&amp;L'!BP23*(POWER(1+0.08,5)/((1+Assumptions!B17)*(1+Assumptions!B18)*(1+Assumptions!B19)*(1+Assumptions!B20)*(1+Assumptions!B21))))*6)-'Debt Schedule'!BP19+'Cash Flow Statement'!BP53)/B17,1/5)-1,0)</f>
        <v/>
      </c>
      <c r="F54" s="199">
        <f>IFERROR(POWER(((('Consolidated P&amp;L'!BP23*(POWER(1+0.1,5)/((1+Assumptions!B17)*(1+Assumptions!B18)*(1+Assumptions!B19)*(1+Assumptions!B20)*(1+Assumptions!B21))))*6)-'Debt Schedule'!BP19+'Cash Flow Statement'!BP53)/B17,1/5)-1,0)</f>
        <v/>
      </c>
      <c r="G54" s="199">
        <f>IFERROR(POWER(((('Consolidated P&amp;L'!BP23*(POWER(1+0.12,5)/((1+Assumptions!B17)*(1+Assumptions!B18)*(1+Assumptions!B19)*(1+Assumptions!B20)*(1+Assumptions!B21))))*6)-'Debt Schedule'!BP19+'Cash Flow Statement'!BP53)/B17,1/5)-1,0)</f>
        <v/>
      </c>
    </row>
    <row r="55" ht="15" customHeight="1" s="104">
      <c r="A55" s="187" t="inlineStr">
        <is>
          <t>6.5x</t>
        </is>
      </c>
      <c r="B55" s="200">
        <f>IFERROR(POWER(((('Consolidated P&amp;L'!BP23*(POWER(1+0.03,5)/((1+Assumptions!B17)*(1+Assumptions!B18)*(1+Assumptions!B19)*(1+Assumptions!B20)*(1+Assumptions!B21))))*6.5)-'Debt Schedule'!BP19+'Cash Flow Statement'!BP53)/B17,1/5)-1,0)</f>
        <v/>
      </c>
      <c r="C55" s="200">
        <f>IFERROR(POWER(((('Consolidated P&amp;L'!BP23*(POWER(1+0.05,5)/((1+Assumptions!B17)*(1+Assumptions!B18)*(1+Assumptions!B19)*(1+Assumptions!B20)*(1+Assumptions!B21))))*6.5)-'Debt Schedule'!BP19+'Cash Flow Statement'!BP53)/B17,1/5)-1,0)</f>
        <v/>
      </c>
      <c r="D55" s="200">
        <f>IFERROR(POWER(((('Consolidated P&amp;L'!BP23*(POWER(1+0.07,5)/((1+Assumptions!B17)*(1+Assumptions!B18)*(1+Assumptions!B19)*(1+Assumptions!B20)*(1+Assumptions!B21))))*6.5)-'Debt Schedule'!BP19+'Cash Flow Statement'!BP53)/B17,1/5)-1,0)</f>
        <v/>
      </c>
      <c r="E55" s="200">
        <f>IFERROR(POWER(((('Consolidated P&amp;L'!BP23*(POWER(1+0.08,5)/((1+Assumptions!B17)*(1+Assumptions!B18)*(1+Assumptions!B19)*(1+Assumptions!B20)*(1+Assumptions!B21))))*6.5)-'Debt Schedule'!BP19+'Cash Flow Statement'!BP53)/B17,1/5)-1,0)</f>
        <v/>
      </c>
      <c r="F55" s="200">
        <f>IFERROR(POWER(((('Consolidated P&amp;L'!BP23*(POWER(1+0.1,5)/((1+Assumptions!B17)*(1+Assumptions!B18)*(1+Assumptions!B19)*(1+Assumptions!B20)*(1+Assumptions!B21))))*6.5)-'Debt Schedule'!BP19+'Cash Flow Statement'!BP53)/B17,1/5)-1,0)</f>
        <v/>
      </c>
      <c r="G55" s="200">
        <f>IFERROR(POWER(((('Consolidated P&amp;L'!BP23*(POWER(1+0.12,5)/((1+Assumptions!B17)*(1+Assumptions!B18)*(1+Assumptions!B19)*(1+Assumptions!B20)*(1+Assumptions!B21))))*6.5)-'Debt Schedule'!BP19+'Cash Flow Statement'!BP53)/B17,1/5)-1,0)</f>
        <v/>
      </c>
    </row>
    <row r="56" ht="15" customHeight="1" s="104">
      <c r="A56" s="107" t="inlineStr">
        <is>
          <t>7.0x</t>
        </is>
      </c>
      <c r="B56" s="199">
        <f>IFERROR(POWER(((('Consolidated P&amp;L'!BP23*(POWER(1+0.03,5)/((1+Assumptions!B17)*(1+Assumptions!B18)*(1+Assumptions!B19)*(1+Assumptions!B20)*(1+Assumptions!B21))))*7)-'Debt Schedule'!BP19+'Cash Flow Statement'!BP53)/B17,1/5)-1,0)</f>
        <v/>
      </c>
      <c r="C56" s="199">
        <f>IFERROR(POWER(((('Consolidated P&amp;L'!BP23*(POWER(1+0.05,5)/((1+Assumptions!B17)*(1+Assumptions!B18)*(1+Assumptions!B19)*(1+Assumptions!B20)*(1+Assumptions!B21))))*7)-'Debt Schedule'!BP19+'Cash Flow Statement'!BP53)/B17,1/5)-1,0)</f>
        <v/>
      </c>
      <c r="D56" s="199">
        <f>IFERROR(POWER(((('Consolidated P&amp;L'!BP23*(POWER(1+0.07,5)/((1+Assumptions!B17)*(1+Assumptions!B18)*(1+Assumptions!B19)*(1+Assumptions!B20)*(1+Assumptions!B21))))*7)-'Debt Schedule'!BP19+'Cash Flow Statement'!BP53)/B17,1/5)-1,0)</f>
        <v/>
      </c>
      <c r="E56" s="199">
        <f>IFERROR(POWER(((('Consolidated P&amp;L'!BP23*(POWER(1+0.08,5)/((1+Assumptions!B17)*(1+Assumptions!B18)*(1+Assumptions!B19)*(1+Assumptions!B20)*(1+Assumptions!B21))))*7)-'Debt Schedule'!BP19+'Cash Flow Statement'!BP53)/B17,1/5)-1,0)</f>
        <v/>
      </c>
      <c r="F56" s="199">
        <f>IFERROR(POWER(((('Consolidated P&amp;L'!BP23*(POWER(1+0.1,5)/((1+Assumptions!B17)*(1+Assumptions!B18)*(1+Assumptions!B19)*(1+Assumptions!B20)*(1+Assumptions!B21))))*7)-'Debt Schedule'!BP19+'Cash Flow Statement'!BP53)/B17,1/5)-1,0)</f>
        <v/>
      </c>
      <c r="G56" s="199">
        <f>IFERROR(POWER(((('Consolidated P&amp;L'!BP23*(POWER(1+0.12,5)/((1+Assumptions!B17)*(1+Assumptions!B18)*(1+Assumptions!B19)*(1+Assumptions!B20)*(1+Assumptions!B21))))*7)-'Debt Schedule'!BP19+'Cash Flow Statement'!BP53)/B17,1/5)-1,0)</f>
        <v/>
      </c>
    </row>
    <row r="57" ht="15" customHeight="1" s="104">
      <c r="A57" s="107" t="inlineStr">
        <is>
          <t>8.0x</t>
        </is>
      </c>
      <c r="B57" s="199">
        <f>IFERROR(POWER(((('Consolidated P&amp;L'!BP23*(POWER(1+0.03,5)/((1+Assumptions!B17)*(1+Assumptions!B18)*(1+Assumptions!B19)*(1+Assumptions!B20)*(1+Assumptions!B21))))*8)-'Debt Schedule'!BP19+'Cash Flow Statement'!BP53)/B17,1/5)-1,0)</f>
        <v/>
      </c>
      <c r="C57" s="199">
        <f>IFERROR(POWER(((('Consolidated P&amp;L'!BP23*(POWER(1+0.05,5)/((1+Assumptions!B17)*(1+Assumptions!B18)*(1+Assumptions!B19)*(1+Assumptions!B20)*(1+Assumptions!B21))))*8)-'Debt Schedule'!BP19+'Cash Flow Statement'!BP53)/B17,1/5)-1,0)</f>
        <v/>
      </c>
      <c r="D57" s="199">
        <f>IFERROR(POWER(((('Consolidated P&amp;L'!BP23*(POWER(1+0.07,5)/((1+Assumptions!B17)*(1+Assumptions!B18)*(1+Assumptions!B19)*(1+Assumptions!B20)*(1+Assumptions!B21))))*8)-'Debt Schedule'!BP19+'Cash Flow Statement'!BP53)/B17,1/5)-1,0)</f>
        <v/>
      </c>
      <c r="E57" s="199">
        <f>IFERROR(POWER(((('Consolidated P&amp;L'!BP23*(POWER(1+0.08,5)/((1+Assumptions!B17)*(1+Assumptions!B18)*(1+Assumptions!B19)*(1+Assumptions!B20)*(1+Assumptions!B21))))*8)-'Debt Schedule'!BP19+'Cash Flow Statement'!BP53)/B17,1/5)-1,0)</f>
        <v/>
      </c>
      <c r="F57" s="199">
        <f>IFERROR(POWER(((('Consolidated P&amp;L'!BP23*(POWER(1+0.1,5)/((1+Assumptions!B17)*(1+Assumptions!B18)*(1+Assumptions!B19)*(1+Assumptions!B20)*(1+Assumptions!B21))))*8)-'Debt Schedule'!BP19+'Cash Flow Statement'!BP53)/B17,1/5)-1,0)</f>
        <v/>
      </c>
      <c r="G57" s="199">
        <f>IFERROR(POWER(((('Consolidated P&amp;L'!BP23*(POWER(1+0.12,5)/((1+Assumptions!B17)*(1+Assumptions!B18)*(1+Assumptions!B19)*(1+Assumptions!B20)*(1+Assumptions!B21))))*8)-'Debt Schedule'!BP19+'Cash Flow Statement'!BP53)/B17,1/5)-1,0)</f>
        <v/>
      </c>
    </row>
    <row r="58" ht="15" customHeight="1" s="104">
      <c r="A58" s="107" t="inlineStr">
        <is>
          <t>10.0x</t>
        </is>
      </c>
      <c r="B58" s="199">
        <f>IFERROR(POWER(((('Consolidated P&amp;L'!BP23*(POWER(1+0.03,5)/((1+Assumptions!B17)*(1+Assumptions!B18)*(1+Assumptions!B19)*(1+Assumptions!B20)*(1+Assumptions!B21))))*10)-'Debt Schedule'!BP19+'Cash Flow Statement'!BP53)/B17,1/5)-1,0)</f>
        <v/>
      </c>
      <c r="C58" s="199">
        <f>IFERROR(POWER(((('Consolidated P&amp;L'!BP23*(POWER(1+0.05,5)/((1+Assumptions!B17)*(1+Assumptions!B18)*(1+Assumptions!B19)*(1+Assumptions!B20)*(1+Assumptions!B21))))*10)-'Debt Schedule'!BP19+'Cash Flow Statement'!BP53)/B17,1/5)-1,0)</f>
        <v/>
      </c>
      <c r="D58" s="199">
        <f>IFERROR(POWER(((('Consolidated P&amp;L'!BP23*(POWER(1+0.07,5)/((1+Assumptions!B17)*(1+Assumptions!B18)*(1+Assumptions!B19)*(1+Assumptions!B20)*(1+Assumptions!B21))))*10)-'Debt Schedule'!BP19+'Cash Flow Statement'!BP53)/B17,1/5)-1,0)</f>
        <v/>
      </c>
      <c r="E58" s="199">
        <f>IFERROR(POWER(((('Consolidated P&amp;L'!BP23*(POWER(1+0.08,5)/((1+Assumptions!B17)*(1+Assumptions!B18)*(1+Assumptions!B19)*(1+Assumptions!B20)*(1+Assumptions!B21))))*10)-'Debt Schedule'!BP19+'Cash Flow Statement'!BP53)/B17,1/5)-1,0)</f>
        <v/>
      </c>
      <c r="F58" s="199">
        <f>IFERROR(POWER(((('Consolidated P&amp;L'!BP23*(POWER(1+0.1,5)/((1+Assumptions!B17)*(1+Assumptions!B18)*(1+Assumptions!B19)*(1+Assumptions!B20)*(1+Assumptions!B21))))*10)-'Debt Schedule'!BP19+'Cash Flow Statement'!BP53)/B17,1/5)-1,0)</f>
        <v/>
      </c>
      <c r="G58" s="199">
        <f>IFERROR(POWER(((('Consolidated P&amp;L'!BP23*(POWER(1+0.12,5)/((1+Assumptions!B17)*(1+Assumptions!B18)*(1+Assumptions!B19)*(1+Assumptions!B20)*(1+Assumptions!B21))))*10)-'Debt Schedule'!BP19+'Cash Flow Statement'!BP53)/B17,1/5)-1,0)</f>
        <v/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7.xml><?xml version="1.0" encoding="utf-8"?>
<worksheet xmlns="http://schemas.openxmlformats.org/spreadsheetml/2006/main">
  <sheetPr filterMode="0">
    <tabColor rgb="FF2E5096"/>
    <outlinePr summaryBelow="1" summaryRight="1"/>
    <pageSetUpPr fitToPage="0"/>
  </sheetPr>
  <dimension ref="A1:G24"/>
  <sheetViews>
    <sheetView showFormulas="0" showGridLines="1" showRowColHeaders="1" showZeros="1" rightToLeft="0" tabSelected="0" showOutlineSymbols="1" defaultGridColor="1" view="normal" topLeftCell="A1" colorId="64" zoomScale="80" zoomScaleNormal="80" zoomScalePageLayoutView="100" workbookViewId="0">
      <selection pane="topLeft" activeCell="F6" activeCellId="0" sqref="F6"/>
    </sheetView>
  </sheetViews>
  <sheetFormatPr baseColWidth="8" defaultColWidth="8.71484375" defaultRowHeight="15" zeroHeight="0" outlineLevelRow="0"/>
  <cols>
    <col width="26" customWidth="1" style="103" min="1" max="1"/>
    <col width="14" customWidth="1" style="103" min="2" max="2"/>
    <col width="16" customWidth="1" style="103" min="3" max="3"/>
    <col width="20" customWidth="1" style="103" min="4" max="4"/>
    <col width="45" customWidth="1" style="103" min="5" max="5"/>
    <col width="52" customWidth="1" style="103" min="6" max="6"/>
  </cols>
  <sheetData>
    <row r="1" ht="19.5" customHeight="1" s="104">
      <c r="A1" s="105" t="inlineStr">
        <is>
          <t>OpEx Assumptions – Rationale, Benchmarks &amp; Fixed vs. Variable</t>
        </is>
      </c>
    </row>
    <row r="3" ht="18" customHeight="1" s="104">
      <c r="A3" s="149" t="inlineStr">
        <is>
          <t>Expense Bucket</t>
        </is>
      </c>
      <c r="B3" s="149" t="inlineStr">
        <is>
          <t>Base % Rev</t>
        </is>
      </c>
      <c r="C3" s="149" t="inlineStr">
        <is>
          <t>Annual Impr</t>
        </is>
      </c>
      <c r="D3" s="149" t="inlineStr">
        <is>
          <t>Fixed vs Variable</t>
        </is>
      </c>
      <c r="E3" s="149" t="inlineStr">
        <is>
          <t>What It Encompasses</t>
        </is>
      </c>
      <c r="F3" s="149" t="inlineStr">
        <is>
          <t>Rationale &amp; Sources</t>
        </is>
      </c>
    </row>
    <row r="4" ht="72" customHeight="1" s="104">
      <c r="A4" s="201" t="inlineStr">
        <is>
          <t>Attorney Compensation</t>
        </is>
      </c>
      <c r="B4" s="202" t="inlineStr">
        <is>
          <t>58%</t>
        </is>
      </c>
      <c r="C4" s="203" t="inlineStr">
        <is>
          <t>-0.5%/yr to ~55.5% FY5</t>
        </is>
      </c>
      <c r="D4" s="203" t="inlineStr">
        <is>
          <t>~65% Variable / 35% Fixed</t>
        </is>
      </c>
      <c r="E4" s="203" t="inlineStr">
        <is>
          <t>Partner draws, associate salaries, paralegal comp, bonuses, payroll taxes, health/401k.</t>
        </is>
      </c>
      <c r="F4" s="203" t="inlineStr">
        <is>
          <t>58% reflects pre-optimization mid-market firm with partner draws in comp. NALP 2024: attorney comp 55-62% at $50-150M firms. Citi Law Firm Leaders 2024: median 56% for 40-100 attorney firms. Improves via utilization (1900+ hrs/yr) and leverage expansion. Source: NALP 2024 Survey; Citi citibank.com/commercialbank/industries/law-firms.</t>
        </is>
      </c>
    </row>
    <row r="5" ht="60" customHeight="1" s="104">
      <c r="A5" s="204" t="inlineStr">
        <is>
          <t>Staff Compensation</t>
        </is>
      </c>
      <c r="B5" s="205" t="inlineStr">
        <is>
          <t>10%</t>
        </is>
      </c>
      <c r="C5" s="206" t="inlineStr">
        <is>
          <t>-0.3%/yr to ~8.5% FY5</t>
        </is>
      </c>
      <c r="D5" s="206" t="inlineStr">
        <is>
          <t>~50% Variable / 50% Fixed</t>
        </is>
      </c>
      <c r="E5" s="206" t="inlineStr">
        <is>
          <t>Office managers, legal secretaries, HR, finance/accounting, IT support, marketing coordinators.</t>
        </is>
      </c>
      <c r="F5" s="206" t="inlineStr">
        <is>
          <t>Thomson Reuters 2024 State of Legal Market: non-attorney staff 8-12% of revenue. ALA 2024 Compensation Survey: median 10.2% for $50-100M firms. Improvement via shared services post-rollup (eliminate duplicate CFO, HR). Source: thomsonreuters.com; alanet.org.</t>
        </is>
      </c>
    </row>
    <row r="6" ht="48" customHeight="1" s="104">
      <c r="A6" s="201" t="inlineStr">
        <is>
          <t>Occupancy &amp; Facilities</t>
        </is>
      </c>
      <c r="B6" s="202" t="inlineStr">
        <is>
          <t>6%</t>
        </is>
      </c>
      <c r="C6" s="203" t="inlineStr">
        <is>
          <t>-0.2%/yr to ~5% FY5</t>
        </is>
      </c>
      <c r="D6" s="203" t="inlineStr">
        <is>
          <t>~85% Fixed / 15% Variable</t>
        </is>
      </c>
      <c r="E6" s="203" t="inlineStr">
        <is>
          <t>Office rent (largest sub-line), CAM, utilities, janitorial, security, office supplies.</t>
        </is>
      </c>
      <c r="F6" s="203" t="inlineStr">
        <is>
          <t>CoStar 2024 Legal Office Report: law firms average $8-14/sq ft/mo in major metros. For ~75 attorneys at $70M, occupancy typically 5.5-7%. Improvement from lease consolidation and renegotiation at renewal. Source: costar.com; cbre.com.</t>
        </is>
      </c>
    </row>
    <row r="7" ht="60" customHeight="1" s="104">
      <c r="A7" s="204" t="inlineStr">
        <is>
          <t>Technology &amp; Software</t>
        </is>
      </c>
      <c r="B7" s="205" t="inlineStr">
        <is>
          <t>3%</t>
        </is>
      </c>
      <c r="C7" s="206" t="inlineStr">
        <is>
          <t>-0.1%/yr to ~2.5% FY5</t>
        </is>
      </c>
      <c r="D7" s="206" t="inlineStr">
        <is>
          <t>~40% Fixed / 60% Variable</t>
        </is>
      </c>
      <c r="E7" s="206" t="inlineStr">
        <is>
          <t>Practice mgmt (Clio, Aderant), document mgmt (iManage), billing/timekeeping, e-discovery, M365, cybersecurity.</t>
        </is>
      </c>
      <c r="F7" s="206" t="inlineStr">
        <is>
          <t>Thomson Reuters 2024 Legal Technology Survey: mid-market tech spend 2.5-3.5% of revenue. Clio Enterprise pricing drops ~30% per seat at 100+ users. Platform standardization drives 10bps/yr improvement. Source: thomsonreuters.com; wolterskluwer.com.</t>
        </is>
      </c>
    </row>
    <row r="8" ht="48" customHeight="1" s="104">
      <c r="A8" s="201" t="inlineStr">
        <is>
          <t>Insurance</t>
        </is>
      </c>
      <c r="B8" s="202" t="inlineStr">
        <is>
          <t>2.5%</t>
        </is>
      </c>
      <c r="C8" s="203" t="inlineStr">
        <is>
          <t>-0.1%/yr to ~2% FY5</t>
        </is>
      </c>
      <c r="D8" s="203" t="inlineStr">
        <is>
          <t>~80% Fixed / 20% Variable</t>
        </is>
      </c>
      <c r="E8" s="203" t="inlineStr">
        <is>
          <t>Professional liability (malpractice) — largest component. D&amp;O, GL, workers comp, cyber, EPLI.</t>
        </is>
      </c>
      <c r="F8" s="203" t="inlineStr">
        <is>
          <t>Ames &amp; Gough 2024: malpractice premiums 1.8-2.8% of revenue for $50-150M firms. Group purchasing via PE platform gives carrier leverage. Source: amesandgough.com; marsh.com.</t>
        </is>
      </c>
    </row>
    <row r="9" ht="48" customHeight="1" s="104">
      <c r="A9" s="204" t="inlineStr">
        <is>
          <t>Other OpEx</t>
        </is>
      </c>
      <c r="B9" s="205" t="inlineStr">
        <is>
          <t>2.5%</t>
        </is>
      </c>
      <c r="C9" s="206" t="inlineStr">
        <is>
          <t>-0.1%/yr to ~2% FY5</t>
        </is>
      </c>
      <c r="D9" s="206" t="inlineStr">
        <is>
          <t>~35% Fixed / 65% Variable</t>
        </is>
      </c>
      <c r="E9" s="206" t="inlineStr">
        <is>
          <t>Business development, marketing, CLE, bar dues, recruiting fees, T&amp;E, filing fees, misc.</t>
        </is>
      </c>
      <c r="F9" s="206" t="inlineStr">
        <is>
          <t>ILTA 2024: BD + other admin runs 2-4% at mid-market firms. Firms with strong referral networks run ~1.5%; consumer-facing PI/family law runs ~4%. Source: thomsonreuters.com; iltanet.org.</t>
        </is>
      </c>
    </row>
    <row r="10" ht="36" customHeight="1" s="104">
      <c r="A10" s="201" t="inlineStr">
        <is>
          <t>PP&amp;E D&amp;A</t>
        </is>
      </c>
      <c r="B10" s="202" t="inlineStr">
        <is>
          <t>1.5% of Rev</t>
        </is>
      </c>
      <c r="C10" s="203" t="inlineStr">
        <is>
          <t>None</t>
        </is>
      </c>
      <c r="D10" s="203" t="inlineStr">
        <is>
          <t>~100% Fixed (non-cash)</t>
        </is>
      </c>
      <c r="E10" s="203" t="inlineStr">
        <is>
          <t>Straight-line depreciation of leasehold improvements, furniture, computers, servers.</t>
        </is>
      </c>
      <c r="F10" s="203" t="inlineStr">
        <is>
          <t>Asset-light professional services benchmark. PP&amp;E base ~$3.5M at $70M firm. Non-cash; added back in cash flow statement.</t>
        </is>
      </c>
    </row>
    <row r="11" ht="48" customHeight="1" s="104">
      <c r="A11" s="204" t="inlineStr">
        <is>
          <t>Goodwill Amort</t>
        </is>
      </c>
      <c r="B11" s="205" t="inlineStr">
        <is>
          <t>TEV / 180 months</t>
        </is>
      </c>
      <c r="C11" s="206" t="inlineStr">
        <is>
          <t>Fixed $/month</t>
        </is>
      </c>
      <c r="D11" s="206" t="inlineStr">
        <is>
          <t>~100% Fixed (non-cash)</t>
        </is>
      </c>
      <c r="E11" s="206" t="inlineStr">
        <is>
          <t>100% of purchase price capitalized as goodwill. Amortized over 15 years (180 months) per IRS Section 197 intangibles rules.</t>
        </is>
      </c>
      <c r="F11" s="206" t="inlineStr">
        <is>
          <t>IRS Section 197: purchased intangibles in asset acquisition or 338(h)(10) election amortized over 15 years straight-line. Creates significant tax shield. Source: IRS Section 197; Treasury Reg. 1.197-2.</t>
        </is>
      </c>
    </row>
    <row r="13" ht="15" customHeight="1" s="104">
      <c r="A13" s="106" t="inlineStr">
        <is>
          <t>IMPLIED EBITDA BRIDGE</t>
        </is>
      </c>
    </row>
    <row r="14" ht="15.75" customHeight="1" s="104">
      <c r="A14" s="193" t="n"/>
      <c r="B14" s="193" t="inlineStr">
        <is>
          <t>Base Year</t>
        </is>
      </c>
      <c r="C14" s="193" t="inlineStr">
        <is>
          <t>FY1</t>
        </is>
      </c>
      <c r="D14" s="193" t="inlineStr">
        <is>
          <t>FY2</t>
        </is>
      </c>
      <c r="E14" s="193" t="inlineStr">
        <is>
          <t>FY3</t>
        </is>
      </c>
      <c r="F14" s="193" t="inlineStr">
        <is>
          <t>FY4</t>
        </is>
      </c>
      <c r="G14" s="193" t="inlineStr">
        <is>
          <t>FY5</t>
        </is>
      </c>
    </row>
    <row r="15" ht="15.75" customHeight="1" s="104">
      <c r="A15" s="202" t="inlineStr">
        <is>
          <t>Revenue ($mm)</t>
        </is>
      </c>
      <c r="B15" s="207">
        <f>Assumptions!B5</f>
        <v/>
      </c>
      <c r="C15" s="207">
        <f>B15*(1+Assumptions!B17)</f>
        <v/>
      </c>
      <c r="D15" s="207">
        <f>C15*(1+Assumptions!B18)</f>
        <v/>
      </c>
      <c r="E15" s="207">
        <f>D15*(1+Assumptions!B19)</f>
        <v/>
      </c>
      <c r="F15" s="207">
        <f>E15*(1+Assumptions!B20)</f>
        <v/>
      </c>
      <c r="G15" s="207">
        <f>F15*(1+Assumptions!B21)</f>
        <v/>
      </c>
    </row>
    <row r="16" ht="15.75" customHeight="1" s="104">
      <c r="A16" s="205" t="inlineStr">
        <is>
          <t>Atty Comp %</t>
        </is>
      </c>
      <c r="B16" s="208">
        <f>Assumptions!B24</f>
        <v/>
      </c>
      <c r="C16" s="208">
        <f>B16+Assumptions!B25</f>
        <v/>
      </c>
      <c r="D16" s="208">
        <f>C16+Assumptions!B25</f>
        <v/>
      </c>
      <c r="E16" s="208">
        <f>D16+Assumptions!B25</f>
        <v/>
      </c>
      <c r="F16" s="208">
        <f>E16+Assumptions!B25</f>
        <v/>
      </c>
      <c r="G16" s="208">
        <f>F16+Assumptions!B25</f>
        <v/>
      </c>
    </row>
    <row r="17" ht="15.75" customHeight="1" s="104">
      <c r="A17" s="202" t="inlineStr">
        <is>
          <t>Staff %</t>
        </is>
      </c>
      <c r="B17" s="209">
        <f>Assumptions!B26</f>
        <v/>
      </c>
      <c r="C17" s="209">
        <f>B17+Assumptions!B27</f>
        <v/>
      </c>
      <c r="D17" s="209">
        <f>C17+Assumptions!B27</f>
        <v/>
      </c>
      <c r="E17" s="209">
        <f>D17+Assumptions!B27</f>
        <v/>
      </c>
      <c r="F17" s="209">
        <f>E17+Assumptions!B27</f>
        <v/>
      </c>
      <c r="G17" s="209">
        <f>F17+Assumptions!B27</f>
        <v/>
      </c>
    </row>
    <row r="18" ht="15.75" customHeight="1" s="104">
      <c r="A18" s="205" t="inlineStr">
        <is>
          <t>Occupancy %</t>
        </is>
      </c>
      <c r="B18" s="208">
        <f>Assumptions!B28</f>
        <v/>
      </c>
      <c r="C18" s="208">
        <f>B18+Assumptions!B29</f>
        <v/>
      </c>
      <c r="D18" s="208">
        <f>C18+Assumptions!B29</f>
        <v/>
      </c>
      <c r="E18" s="208">
        <f>D18+Assumptions!B29</f>
        <v/>
      </c>
      <c r="F18" s="208">
        <f>E18+Assumptions!B29</f>
        <v/>
      </c>
      <c r="G18" s="208">
        <f>F18+Assumptions!B29</f>
        <v/>
      </c>
    </row>
    <row r="19" ht="15.75" customHeight="1" s="104">
      <c r="A19" s="202" t="inlineStr">
        <is>
          <t>Tech %</t>
        </is>
      </c>
      <c r="B19" s="209">
        <f>Assumptions!B30</f>
        <v/>
      </c>
      <c r="C19" s="209">
        <f>B19+Assumptions!B31</f>
        <v/>
      </c>
      <c r="D19" s="209">
        <f>C19+Assumptions!B31</f>
        <v/>
      </c>
      <c r="E19" s="209">
        <f>D19+Assumptions!B31</f>
        <v/>
      </c>
      <c r="F19" s="209">
        <f>E19+Assumptions!B31</f>
        <v/>
      </c>
      <c r="G19" s="209">
        <f>F19+Assumptions!B31</f>
        <v/>
      </c>
    </row>
    <row r="20" ht="15.75" customHeight="1" s="104">
      <c r="A20" s="205" t="inlineStr">
        <is>
          <t>Insurance %</t>
        </is>
      </c>
      <c r="B20" s="208">
        <f>Assumptions!B32</f>
        <v/>
      </c>
      <c r="C20" s="208">
        <f>B20+Assumptions!B33</f>
        <v/>
      </c>
      <c r="D20" s="208">
        <f>C20+Assumptions!B33</f>
        <v/>
      </c>
      <c r="E20" s="208">
        <f>D20+Assumptions!B33</f>
        <v/>
      </c>
      <c r="F20" s="208">
        <f>E20+Assumptions!B33</f>
        <v/>
      </c>
      <c r="G20" s="208">
        <f>F20+Assumptions!B33</f>
        <v/>
      </c>
    </row>
    <row r="21" ht="15.75" customHeight="1" s="104">
      <c r="A21" s="202" t="inlineStr">
        <is>
          <t>Other %</t>
        </is>
      </c>
      <c r="B21" s="209">
        <f>Assumptions!B34</f>
        <v/>
      </c>
      <c r="C21" s="209">
        <f>B21+Assumptions!B35</f>
        <v/>
      </c>
      <c r="D21" s="209">
        <f>C21+Assumptions!B35</f>
        <v/>
      </c>
      <c r="E21" s="209">
        <f>D21+Assumptions!B35</f>
        <v/>
      </c>
      <c r="F21" s="209">
        <f>E21+Assumptions!B35</f>
        <v/>
      </c>
      <c r="G21" s="209">
        <f>F21+Assumptions!B35</f>
        <v/>
      </c>
    </row>
    <row r="22" ht="15.75" customHeight="1" s="104">
      <c r="A22" s="204" t="inlineStr">
        <is>
          <t>Total OpEx %</t>
        </is>
      </c>
      <c r="B22" s="210">
        <f>SUM(B16:B21)</f>
        <v/>
      </c>
      <c r="C22" s="210">
        <f>SUM(C16:C21)</f>
        <v/>
      </c>
      <c r="D22" s="210">
        <f>SUM(D16:D21)</f>
        <v/>
      </c>
      <c r="E22" s="210">
        <f>SUM(E16:E21)</f>
        <v/>
      </c>
      <c r="F22" s="210">
        <f>SUM(F16:F21)</f>
        <v/>
      </c>
      <c r="G22" s="210">
        <f>SUM(G16:G21)</f>
        <v/>
      </c>
    </row>
    <row r="23" ht="15.75" customHeight="1" s="104">
      <c r="A23" s="182" t="inlineStr">
        <is>
          <t>EBITDA %</t>
        </is>
      </c>
      <c r="B23" s="211">
        <f>1-B22</f>
        <v/>
      </c>
      <c r="C23" s="211">
        <f>1-C22</f>
        <v/>
      </c>
      <c r="D23" s="211">
        <f>1-D22</f>
        <v/>
      </c>
      <c r="E23" s="211">
        <f>1-E22</f>
        <v/>
      </c>
      <c r="F23" s="211">
        <f>1-F22</f>
        <v/>
      </c>
      <c r="G23" s="211">
        <f>1-G22</f>
        <v/>
      </c>
    </row>
    <row r="24" ht="15.75" customHeight="1" s="104">
      <c r="A24" s="182" t="inlineStr">
        <is>
          <t>EBITDA ($mm)</t>
        </is>
      </c>
      <c r="B24" s="212">
        <f>B15*B23</f>
        <v/>
      </c>
      <c r="C24" s="212">
        <f>C15*C23</f>
        <v/>
      </c>
      <c r="D24" s="212">
        <f>D15*D23</f>
        <v/>
      </c>
      <c r="E24" s="212">
        <f>E15*E23</f>
        <v/>
      </c>
      <c r="F24" s="212">
        <f>F15*F23</f>
        <v/>
      </c>
      <c r="G24" s="212">
        <f>G15*G23</f>
        <v/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8.xml><?xml version="1.0" encoding="utf-8"?>
<worksheet xmlns="http://schemas.openxmlformats.org/spreadsheetml/2006/main">
  <sheetPr filterMode="0">
    <tabColor rgb="FF2E75B6"/>
    <outlinePr summaryBelow="1" summaryRight="1"/>
    <pageSetUpPr fitToPage="0"/>
  </sheetPr>
  <dimension ref="A1:BP2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H31" activeCellId="0" sqref="H31"/>
    </sheetView>
  </sheetViews>
  <sheetFormatPr baseColWidth="8" defaultColWidth="8.71484375" defaultRowHeight="15" zeroHeight="0" outlineLevelRow="0"/>
  <cols>
    <col width="38" customWidth="1" style="103" min="1" max="1"/>
    <col width="9" customWidth="1" style="103" min="3" max="62"/>
    <col width="11" customWidth="1" style="103" min="64" max="68"/>
  </cols>
  <sheetData>
    <row r="1" ht="19.5" customHeight="1" s="104">
      <c r="A1" s="105" t="inlineStr">
        <is>
          <t>Platform P&amp;L – $70M Law Firm (Monthly, $mm)</t>
        </is>
      </c>
    </row>
    <row r="3" ht="15" customHeight="1" s="104">
      <c r="A3" s="116" t="inlineStr">
        <is>
          <t>($mm)</t>
        </is>
      </c>
      <c r="C3" s="149" t="inlineStr">
        <is>
          <t>Oct-26</t>
        </is>
      </c>
      <c r="D3" s="149" t="inlineStr">
        <is>
          <t>Nov-26</t>
        </is>
      </c>
      <c r="E3" s="149" t="inlineStr">
        <is>
          <t>Dec-26</t>
        </is>
      </c>
      <c r="F3" s="149" t="inlineStr">
        <is>
          <t>Jan-27</t>
        </is>
      </c>
      <c r="G3" s="149" t="inlineStr">
        <is>
          <t>Feb-27</t>
        </is>
      </c>
      <c r="H3" s="149" t="inlineStr">
        <is>
          <t>Mar-27</t>
        </is>
      </c>
      <c r="I3" s="149" t="inlineStr">
        <is>
          <t>Apr-27</t>
        </is>
      </c>
      <c r="J3" s="149" t="inlineStr">
        <is>
          <t>May-27</t>
        </is>
      </c>
      <c r="K3" s="149" t="inlineStr">
        <is>
          <t>Jun-27</t>
        </is>
      </c>
      <c r="L3" s="149" t="inlineStr">
        <is>
          <t>Jul-27</t>
        </is>
      </c>
      <c r="M3" s="149" t="inlineStr">
        <is>
          <t>Aug-27</t>
        </is>
      </c>
      <c r="N3" s="149" t="inlineStr">
        <is>
          <t>Sep-27</t>
        </is>
      </c>
      <c r="O3" s="149" t="inlineStr">
        <is>
          <t>Oct-27</t>
        </is>
      </c>
      <c r="P3" s="149" t="inlineStr">
        <is>
          <t>Nov-27</t>
        </is>
      </c>
      <c r="Q3" s="149" t="inlineStr">
        <is>
          <t>Dec-27</t>
        </is>
      </c>
      <c r="R3" s="149" t="inlineStr">
        <is>
          <t>Jan-28</t>
        </is>
      </c>
      <c r="S3" s="149" t="inlineStr">
        <is>
          <t>Feb-28</t>
        </is>
      </c>
      <c r="T3" s="149" t="inlineStr">
        <is>
          <t>Mar-28</t>
        </is>
      </c>
      <c r="U3" s="149" t="inlineStr">
        <is>
          <t>Apr-28</t>
        </is>
      </c>
      <c r="V3" s="149" t="inlineStr">
        <is>
          <t>May-28</t>
        </is>
      </c>
      <c r="W3" s="149" t="inlineStr">
        <is>
          <t>Jun-28</t>
        </is>
      </c>
      <c r="X3" s="149" t="inlineStr">
        <is>
          <t>Jul-28</t>
        </is>
      </c>
      <c r="Y3" s="149" t="inlineStr">
        <is>
          <t>Aug-28</t>
        </is>
      </c>
      <c r="Z3" s="149" t="inlineStr">
        <is>
          <t>Sep-28</t>
        </is>
      </c>
      <c r="AA3" s="149" t="inlineStr">
        <is>
          <t>Oct-28</t>
        </is>
      </c>
      <c r="AB3" s="149" t="inlineStr">
        <is>
          <t>Nov-28</t>
        </is>
      </c>
      <c r="AC3" s="149" t="inlineStr">
        <is>
          <t>Dec-28</t>
        </is>
      </c>
      <c r="AD3" s="149" t="inlineStr">
        <is>
          <t>Jan-29</t>
        </is>
      </c>
      <c r="AE3" s="149" t="inlineStr">
        <is>
          <t>Feb-29</t>
        </is>
      </c>
      <c r="AF3" s="149" t="inlineStr">
        <is>
          <t>Mar-29</t>
        </is>
      </c>
      <c r="AG3" s="149" t="inlineStr">
        <is>
          <t>Apr-29</t>
        </is>
      </c>
      <c r="AH3" s="149" t="inlineStr">
        <is>
          <t>May-29</t>
        </is>
      </c>
      <c r="AI3" s="149" t="inlineStr">
        <is>
          <t>Jun-29</t>
        </is>
      </c>
      <c r="AJ3" s="149" t="inlineStr">
        <is>
          <t>Jul-29</t>
        </is>
      </c>
      <c r="AK3" s="149" t="inlineStr">
        <is>
          <t>Aug-29</t>
        </is>
      </c>
      <c r="AL3" s="149" t="inlineStr">
        <is>
          <t>Sep-29</t>
        </is>
      </c>
      <c r="AM3" s="149" t="inlineStr">
        <is>
          <t>Oct-29</t>
        </is>
      </c>
      <c r="AN3" s="149" t="inlineStr">
        <is>
          <t>Nov-29</t>
        </is>
      </c>
      <c r="AO3" s="149" t="inlineStr">
        <is>
          <t>Dec-29</t>
        </is>
      </c>
      <c r="AP3" s="149" t="inlineStr">
        <is>
          <t>Jan-30</t>
        </is>
      </c>
      <c r="AQ3" s="149" t="inlineStr">
        <is>
          <t>Feb-30</t>
        </is>
      </c>
      <c r="AR3" s="149" t="inlineStr">
        <is>
          <t>Mar-30</t>
        </is>
      </c>
      <c r="AS3" s="149" t="inlineStr">
        <is>
          <t>Apr-30</t>
        </is>
      </c>
      <c r="AT3" s="149" t="inlineStr">
        <is>
          <t>May-30</t>
        </is>
      </c>
      <c r="AU3" s="149" t="inlineStr">
        <is>
          <t>Jun-30</t>
        </is>
      </c>
      <c r="AV3" s="149" t="inlineStr">
        <is>
          <t>Jul-30</t>
        </is>
      </c>
      <c r="AW3" s="149" t="inlineStr">
        <is>
          <t>Aug-30</t>
        </is>
      </c>
      <c r="AX3" s="149" t="inlineStr">
        <is>
          <t>Sep-30</t>
        </is>
      </c>
      <c r="AY3" s="149" t="inlineStr">
        <is>
          <t>Oct-30</t>
        </is>
      </c>
      <c r="AZ3" s="149" t="inlineStr">
        <is>
          <t>Nov-30</t>
        </is>
      </c>
      <c r="BA3" s="149" t="inlineStr">
        <is>
          <t>Dec-30</t>
        </is>
      </c>
      <c r="BB3" s="149" t="inlineStr">
        <is>
          <t>Jan-31</t>
        </is>
      </c>
      <c r="BC3" s="149" t="inlineStr">
        <is>
          <t>Feb-31</t>
        </is>
      </c>
      <c r="BD3" s="149" t="inlineStr">
        <is>
          <t>Mar-31</t>
        </is>
      </c>
      <c r="BE3" s="149" t="inlineStr">
        <is>
          <t>Apr-31</t>
        </is>
      </c>
      <c r="BF3" s="149" t="inlineStr">
        <is>
          <t>May-31</t>
        </is>
      </c>
      <c r="BG3" s="149" t="inlineStr">
        <is>
          <t>Jun-31</t>
        </is>
      </c>
      <c r="BH3" s="149" t="inlineStr">
        <is>
          <t>Jul-31</t>
        </is>
      </c>
      <c r="BI3" s="149" t="inlineStr">
        <is>
          <t>Aug-31</t>
        </is>
      </c>
      <c r="BJ3" s="149" t="inlineStr">
        <is>
          <t>Sep-31</t>
        </is>
      </c>
      <c r="BL3" s="150" t="inlineStr">
        <is>
          <t>FY1</t>
        </is>
      </c>
      <c r="BM3" s="150" t="inlineStr">
        <is>
          <t>FY2</t>
        </is>
      </c>
      <c r="BN3" s="150" t="inlineStr">
        <is>
          <t>FY3</t>
        </is>
      </c>
      <c r="BO3" s="150" t="inlineStr">
        <is>
          <t>FY4</t>
        </is>
      </c>
      <c r="BP3" s="150" t="inlineStr">
        <is>
          <t>FY5</t>
        </is>
      </c>
    </row>
    <row r="4" ht="15" customHeight="1" s="104">
      <c r="A4" s="213" t="inlineStr">
        <is>
          <t>Active (1=Yes)</t>
        </is>
      </c>
      <c r="C4" s="214" t="n">
        <v>1</v>
      </c>
      <c r="D4" s="214" t="n">
        <v>1</v>
      </c>
      <c r="E4" s="214" t="n">
        <v>1</v>
      </c>
      <c r="F4" s="214" t="n">
        <v>1</v>
      </c>
      <c r="G4" s="214" t="n">
        <v>1</v>
      </c>
      <c r="H4" s="214" t="n">
        <v>1</v>
      </c>
      <c r="I4" s="214" t="n">
        <v>1</v>
      </c>
      <c r="J4" s="214" t="n">
        <v>1</v>
      </c>
      <c r="K4" s="214" t="n">
        <v>1</v>
      </c>
      <c r="L4" s="214" t="n">
        <v>1</v>
      </c>
      <c r="M4" s="214" t="n">
        <v>1</v>
      </c>
      <c r="N4" s="214" t="n">
        <v>1</v>
      </c>
      <c r="O4" s="214" t="n">
        <v>1</v>
      </c>
      <c r="P4" s="214" t="n">
        <v>1</v>
      </c>
      <c r="Q4" s="214" t="n">
        <v>1</v>
      </c>
      <c r="R4" s="214" t="n">
        <v>1</v>
      </c>
      <c r="S4" s="214" t="n">
        <v>1</v>
      </c>
      <c r="T4" s="214" t="n">
        <v>1</v>
      </c>
      <c r="U4" s="214" t="n">
        <v>1</v>
      </c>
      <c r="V4" s="214" t="n">
        <v>1</v>
      </c>
      <c r="W4" s="214" t="n">
        <v>1</v>
      </c>
      <c r="X4" s="214" t="n">
        <v>1</v>
      </c>
      <c r="Y4" s="214" t="n">
        <v>1</v>
      </c>
      <c r="Z4" s="214" t="n">
        <v>1</v>
      </c>
      <c r="AA4" s="214" t="n">
        <v>1</v>
      </c>
      <c r="AB4" s="214" t="n">
        <v>1</v>
      </c>
      <c r="AC4" s="214" t="n">
        <v>1</v>
      </c>
      <c r="AD4" s="214" t="n">
        <v>1</v>
      </c>
      <c r="AE4" s="214" t="n">
        <v>1</v>
      </c>
      <c r="AF4" s="214" t="n">
        <v>1</v>
      </c>
      <c r="AG4" s="214" t="n">
        <v>1</v>
      </c>
      <c r="AH4" s="214" t="n">
        <v>1</v>
      </c>
      <c r="AI4" s="214" t="n">
        <v>1</v>
      </c>
      <c r="AJ4" s="214" t="n">
        <v>1</v>
      </c>
      <c r="AK4" s="214" t="n">
        <v>1</v>
      </c>
      <c r="AL4" s="214" t="n">
        <v>1</v>
      </c>
      <c r="AM4" s="214" t="n">
        <v>1</v>
      </c>
      <c r="AN4" s="214" t="n">
        <v>1</v>
      </c>
      <c r="AO4" s="214" t="n">
        <v>1</v>
      </c>
      <c r="AP4" s="214" t="n">
        <v>1</v>
      </c>
      <c r="AQ4" s="214" t="n">
        <v>1</v>
      </c>
      <c r="AR4" s="214" t="n">
        <v>1</v>
      </c>
      <c r="AS4" s="214" t="n">
        <v>1</v>
      </c>
      <c r="AT4" s="214" t="n">
        <v>1</v>
      </c>
      <c r="AU4" s="214" t="n">
        <v>1</v>
      </c>
      <c r="AV4" s="214" t="n">
        <v>1</v>
      </c>
      <c r="AW4" s="214" t="n">
        <v>1</v>
      </c>
      <c r="AX4" s="214" t="n">
        <v>1</v>
      </c>
      <c r="AY4" s="214" t="n">
        <v>1</v>
      </c>
      <c r="AZ4" s="214" t="n">
        <v>1</v>
      </c>
      <c r="BA4" s="214" t="n">
        <v>1</v>
      </c>
      <c r="BB4" s="214" t="n">
        <v>1</v>
      </c>
      <c r="BC4" s="214" t="n">
        <v>1</v>
      </c>
      <c r="BD4" s="214" t="n">
        <v>1</v>
      </c>
      <c r="BE4" s="214" t="n">
        <v>1</v>
      </c>
      <c r="BF4" s="214" t="n">
        <v>1</v>
      </c>
      <c r="BG4" s="214" t="n">
        <v>1</v>
      </c>
      <c r="BH4" s="214" t="n">
        <v>1</v>
      </c>
      <c r="BI4" s="214" t="n">
        <v>1</v>
      </c>
      <c r="BJ4" s="214" t="n">
        <v>1</v>
      </c>
    </row>
    <row r="5" ht="15" customHeight="1" s="104">
      <c r="A5" s="106" t="inlineStr">
        <is>
          <t>REVENUE</t>
        </is>
      </c>
    </row>
    <row r="6" ht="15" customHeight="1" s="104">
      <c r="A6" s="116" t="inlineStr">
        <is>
          <t>Monthly Revenue</t>
        </is>
      </c>
      <c r="C6" s="151">
        <f>(Assumptions!B5/12)</f>
        <v/>
      </c>
      <c r="D6" s="151">
        <f>(Assumptions!B5/12)*POWER(1+Assumptions!B17,1/12)</f>
        <v/>
      </c>
      <c r="E6" s="151">
        <f>(Assumptions!B5/12)*POWER(1+Assumptions!B17,2/12)</f>
        <v/>
      </c>
      <c r="F6" s="151">
        <f>(Assumptions!B5/12)*POWER(1+Assumptions!B17,3/12)</f>
        <v/>
      </c>
      <c r="G6" s="151">
        <f>(Assumptions!B5/12)*POWER(1+Assumptions!B17,4/12)</f>
        <v/>
      </c>
      <c r="H6" s="151">
        <f>(Assumptions!B5/12)*POWER(1+Assumptions!B17,5/12)</f>
        <v/>
      </c>
      <c r="I6" s="151">
        <f>(Assumptions!B5/12)*POWER(1+Assumptions!B17,6/12)</f>
        <v/>
      </c>
      <c r="J6" s="151">
        <f>(Assumptions!B5/12)*POWER(1+Assumptions!B17,7/12)</f>
        <v/>
      </c>
      <c r="K6" s="151">
        <f>(Assumptions!B5/12)*POWER(1+Assumptions!B17,8/12)</f>
        <v/>
      </c>
      <c r="L6" s="151">
        <f>(Assumptions!B5/12)*POWER(1+Assumptions!B17,9/12)</f>
        <v/>
      </c>
      <c r="M6" s="151">
        <f>(Assumptions!B5/12)*POWER(1+Assumptions!B17,10/12)</f>
        <v/>
      </c>
      <c r="N6" s="151">
        <f>(Assumptions!B5/12)*POWER(1+Assumptions!B17,11/12)</f>
        <v/>
      </c>
      <c r="O6" s="151">
        <f>(Assumptions!B5*(1+Assumptions!B17)/12)</f>
        <v/>
      </c>
      <c r="P6" s="151">
        <f>(Assumptions!B5*(1+Assumptions!B17)/12)*POWER(1+Assumptions!B18,1/12)</f>
        <v/>
      </c>
      <c r="Q6" s="151">
        <f>(Assumptions!B5*(1+Assumptions!B17)/12)*POWER(1+Assumptions!B18,2/12)</f>
        <v/>
      </c>
      <c r="R6" s="151">
        <f>(Assumptions!B5*(1+Assumptions!B17)/12)*POWER(1+Assumptions!B18,3/12)</f>
        <v/>
      </c>
      <c r="S6" s="151">
        <f>(Assumptions!B5*(1+Assumptions!B17)/12)*POWER(1+Assumptions!B18,4/12)</f>
        <v/>
      </c>
      <c r="T6" s="151">
        <f>(Assumptions!B5*(1+Assumptions!B17)/12)*POWER(1+Assumptions!B18,5/12)</f>
        <v/>
      </c>
      <c r="U6" s="151">
        <f>(Assumptions!B5*(1+Assumptions!B17)/12)*POWER(1+Assumptions!B18,6/12)</f>
        <v/>
      </c>
      <c r="V6" s="151">
        <f>(Assumptions!B5*(1+Assumptions!B17)/12)*POWER(1+Assumptions!B18,7/12)</f>
        <v/>
      </c>
      <c r="W6" s="151">
        <f>(Assumptions!B5*(1+Assumptions!B17)/12)*POWER(1+Assumptions!B18,8/12)</f>
        <v/>
      </c>
      <c r="X6" s="151">
        <f>(Assumptions!B5*(1+Assumptions!B17)/12)*POWER(1+Assumptions!B18,9/12)</f>
        <v/>
      </c>
      <c r="Y6" s="151">
        <f>(Assumptions!B5*(1+Assumptions!B17)/12)*POWER(1+Assumptions!B18,10/12)</f>
        <v/>
      </c>
      <c r="Z6" s="151">
        <f>(Assumptions!B5*(1+Assumptions!B17)/12)*POWER(1+Assumptions!B18,11/12)</f>
        <v/>
      </c>
      <c r="AA6" s="151">
        <f>(Assumptions!B5*(1+Assumptions!B17)*(1+Assumptions!B18)/12)</f>
        <v/>
      </c>
      <c r="AB6" s="151">
        <f>(Assumptions!B5*(1+Assumptions!B17)*(1+Assumptions!B18)/12)*POWER(1+Assumptions!B19,1/12)</f>
        <v/>
      </c>
      <c r="AC6" s="151">
        <f>(Assumptions!B5*(1+Assumptions!B17)*(1+Assumptions!B18)/12)*POWER(1+Assumptions!B19,2/12)</f>
        <v/>
      </c>
      <c r="AD6" s="151">
        <f>(Assumptions!B5*(1+Assumptions!B17)*(1+Assumptions!B18)/12)*POWER(1+Assumptions!B19,3/12)</f>
        <v/>
      </c>
      <c r="AE6" s="151">
        <f>(Assumptions!B5*(1+Assumptions!B17)*(1+Assumptions!B18)/12)*POWER(1+Assumptions!B19,4/12)</f>
        <v/>
      </c>
      <c r="AF6" s="151">
        <f>(Assumptions!B5*(1+Assumptions!B17)*(1+Assumptions!B18)/12)*POWER(1+Assumptions!B19,5/12)</f>
        <v/>
      </c>
      <c r="AG6" s="151">
        <f>(Assumptions!B5*(1+Assumptions!B17)*(1+Assumptions!B18)/12)*POWER(1+Assumptions!B19,6/12)</f>
        <v/>
      </c>
      <c r="AH6" s="151">
        <f>(Assumptions!B5*(1+Assumptions!B17)*(1+Assumptions!B18)/12)*POWER(1+Assumptions!B19,7/12)</f>
        <v/>
      </c>
      <c r="AI6" s="151">
        <f>(Assumptions!B5*(1+Assumptions!B17)*(1+Assumptions!B18)/12)*POWER(1+Assumptions!B19,8/12)</f>
        <v/>
      </c>
      <c r="AJ6" s="151">
        <f>(Assumptions!B5*(1+Assumptions!B17)*(1+Assumptions!B18)/12)*POWER(1+Assumptions!B19,9/12)</f>
        <v/>
      </c>
      <c r="AK6" s="151">
        <f>(Assumptions!B5*(1+Assumptions!B17)*(1+Assumptions!B18)/12)*POWER(1+Assumptions!B19,10/12)</f>
        <v/>
      </c>
      <c r="AL6" s="151">
        <f>(Assumptions!B5*(1+Assumptions!B17)*(1+Assumptions!B18)/12)*POWER(1+Assumptions!B19,11/12)</f>
        <v/>
      </c>
      <c r="AM6" s="151">
        <f>(Assumptions!B5*(1+Assumptions!B17)*(1+Assumptions!B18)*(1+Assumptions!B19)/12)</f>
        <v/>
      </c>
      <c r="AN6" s="151">
        <f>(Assumptions!B5*(1+Assumptions!B17)*(1+Assumptions!B18)*(1+Assumptions!B19)/12)*POWER(1+Assumptions!B20,1/12)</f>
        <v/>
      </c>
      <c r="AO6" s="151">
        <f>(Assumptions!B5*(1+Assumptions!B17)*(1+Assumptions!B18)*(1+Assumptions!B19)/12)*POWER(1+Assumptions!B20,2/12)</f>
        <v/>
      </c>
      <c r="AP6" s="151">
        <f>(Assumptions!B5*(1+Assumptions!B17)*(1+Assumptions!B18)*(1+Assumptions!B19)/12)*POWER(1+Assumptions!B20,3/12)</f>
        <v/>
      </c>
      <c r="AQ6" s="151">
        <f>(Assumptions!B5*(1+Assumptions!B17)*(1+Assumptions!B18)*(1+Assumptions!B19)/12)*POWER(1+Assumptions!B20,4/12)</f>
        <v/>
      </c>
      <c r="AR6" s="151">
        <f>(Assumptions!B5*(1+Assumptions!B17)*(1+Assumptions!B18)*(1+Assumptions!B19)/12)*POWER(1+Assumptions!B20,5/12)</f>
        <v/>
      </c>
      <c r="AS6" s="151">
        <f>(Assumptions!B5*(1+Assumptions!B17)*(1+Assumptions!B18)*(1+Assumptions!B19)/12)*POWER(1+Assumptions!B20,6/12)</f>
        <v/>
      </c>
      <c r="AT6" s="151">
        <f>(Assumptions!B5*(1+Assumptions!B17)*(1+Assumptions!B18)*(1+Assumptions!B19)/12)*POWER(1+Assumptions!B20,7/12)</f>
        <v/>
      </c>
      <c r="AU6" s="151">
        <f>(Assumptions!B5*(1+Assumptions!B17)*(1+Assumptions!B18)*(1+Assumptions!B19)/12)*POWER(1+Assumptions!B20,8/12)</f>
        <v/>
      </c>
      <c r="AV6" s="151">
        <f>(Assumptions!B5*(1+Assumptions!B17)*(1+Assumptions!B18)*(1+Assumptions!B19)/12)*POWER(1+Assumptions!B20,9/12)</f>
        <v/>
      </c>
      <c r="AW6" s="151">
        <f>(Assumptions!B5*(1+Assumptions!B17)*(1+Assumptions!B18)*(1+Assumptions!B19)/12)*POWER(1+Assumptions!B20,10/12)</f>
        <v/>
      </c>
      <c r="AX6" s="151">
        <f>(Assumptions!B5*(1+Assumptions!B17)*(1+Assumptions!B18)*(1+Assumptions!B19)/12)*POWER(1+Assumptions!B20,11/12)</f>
        <v/>
      </c>
      <c r="AY6" s="151">
        <f>(Assumptions!B5*(1+Assumptions!B17)*(1+Assumptions!B18)*(1+Assumptions!B19)*(1+Assumptions!B20)/12)</f>
        <v/>
      </c>
      <c r="AZ6" s="151">
        <f>(Assumptions!B5*(1+Assumptions!B17)*(1+Assumptions!B18)*(1+Assumptions!B19)*(1+Assumptions!B20)/12)*POWER(1+Assumptions!B21,1/12)</f>
        <v/>
      </c>
      <c r="BA6" s="151">
        <f>(Assumptions!B5*(1+Assumptions!B17)*(1+Assumptions!B18)*(1+Assumptions!B19)*(1+Assumptions!B20)/12)*POWER(1+Assumptions!B21,2/12)</f>
        <v/>
      </c>
      <c r="BB6" s="151">
        <f>(Assumptions!B5*(1+Assumptions!B17)*(1+Assumptions!B18)*(1+Assumptions!B19)*(1+Assumptions!B20)/12)*POWER(1+Assumptions!B21,3/12)</f>
        <v/>
      </c>
      <c r="BC6" s="151">
        <f>(Assumptions!B5*(1+Assumptions!B17)*(1+Assumptions!B18)*(1+Assumptions!B19)*(1+Assumptions!B20)/12)*POWER(1+Assumptions!B21,4/12)</f>
        <v/>
      </c>
      <c r="BD6" s="151">
        <f>(Assumptions!B5*(1+Assumptions!B17)*(1+Assumptions!B18)*(1+Assumptions!B19)*(1+Assumptions!B20)/12)*POWER(1+Assumptions!B21,5/12)</f>
        <v/>
      </c>
      <c r="BE6" s="151">
        <f>(Assumptions!B5*(1+Assumptions!B17)*(1+Assumptions!B18)*(1+Assumptions!B19)*(1+Assumptions!B20)/12)*POWER(1+Assumptions!B21,6/12)</f>
        <v/>
      </c>
      <c r="BF6" s="151">
        <f>(Assumptions!B5*(1+Assumptions!B17)*(1+Assumptions!B18)*(1+Assumptions!B19)*(1+Assumptions!B20)/12)*POWER(1+Assumptions!B21,7/12)</f>
        <v/>
      </c>
      <c r="BG6" s="151">
        <f>(Assumptions!B5*(1+Assumptions!B17)*(1+Assumptions!B18)*(1+Assumptions!B19)*(1+Assumptions!B20)/12)*POWER(1+Assumptions!B21,8/12)</f>
        <v/>
      </c>
      <c r="BH6" s="151">
        <f>(Assumptions!B5*(1+Assumptions!B17)*(1+Assumptions!B18)*(1+Assumptions!B19)*(1+Assumptions!B20)/12)*POWER(1+Assumptions!B21,9/12)</f>
        <v/>
      </c>
      <c r="BI6" s="151">
        <f>(Assumptions!B5*(1+Assumptions!B17)*(1+Assumptions!B18)*(1+Assumptions!B19)*(1+Assumptions!B20)/12)*POWER(1+Assumptions!B21,10/12)</f>
        <v/>
      </c>
      <c r="BJ6" s="151">
        <f>(Assumptions!B5*(1+Assumptions!B17)*(1+Assumptions!B18)*(1+Assumptions!B19)*(1+Assumptions!B20)/12)*POWER(1+Assumptions!B21,11/12)</f>
        <v/>
      </c>
      <c r="BL6" s="152">
        <f>C6+D6+E6+F6+G6+H6+I6+J6+K6+L6+M6+N6</f>
        <v/>
      </c>
      <c r="BM6" s="152">
        <f>O6+P6+Q6+R6+S6+T6+U6+V6+W6+X6+Y6+Z6</f>
        <v/>
      </c>
      <c r="BN6" s="152">
        <f>AA6+AB6+AC6+AD6+AE6+AF6+AG6+AH6+AI6+AJ6+AK6+AL6</f>
        <v/>
      </c>
      <c r="BO6" s="152">
        <f>AM6+AN6+AO6+AP6+AQ6+AR6+AS6+AT6+AU6+AV6+AW6+AX6</f>
        <v/>
      </c>
      <c r="BP6" s="152">
        <f>AY6+AZ6+BA6+BB6+BC6+BD6+BE6+BF6+BG6+BH6+BI6+BJ6</f>
        <v/>
      </c>
    </row>
    <row r="7" ht="15" customHeight="1" s="104">
      <c r="A7" s="106" t="inlineStr">
        <is>
          <t>OPERATING EXPENSES</t>
        </is>
      </c>
    </row>
    <row r="8" ht="15" customHeight="1" s="104">
      <c r="A8" s="107" t="inlineStr">
        <is>
          <t>Attorney Compensation</t>
        </is>
      </c>
      <c r="C8" s="156">
        <f>C6*(Assumptions!B24+Assumptions!B25*0)</f>
        <v/>
      </c>
      <c r="D8" s="156">
        <f>D6*(Assumptions!B24+Assumptions!B25*0)</f>
        <v/>
      </c>
      <c r="E8" s="156">
        <f>E6*(Assumptions!B24+Assumptions!B25*0)</f>
        <v/>
      </c>
      <c r="F8" s="156">
        <f>F6*(Assumptions!B24+Assumptions!B25*0)</f>
        <v/>
      </c>
      <c r="G8" s="156">
        <f>G6*(Assumptions!B24+Assumptions!B25*0)</f>
        <v/>
      </c>
      <c r="H8" s="156">
        <f>H6*(Assumptions!B24+Assumptions!B25*0)</f>
        <v/>
      </c>
      <c r="I8" s="156">
        <f>I6*(Assumptions!B24+Assumptions!B25*0)</f>
        <v/>
      </c>
      <c r="J8" s="156">
        <f>J6*(Assumptions!B24+Assumptions!B25*0)</f>
        <v/>
      </c>
      <c r="K8" s="156">
        <f>K6*(Assumptions!B24+Assumptions!B25*0)</f>
        <v/>
      </c>
      <c r="L8" s="156">
        <f>L6*(Assumptions!B24+Assumptions!B25*0)</f>
        <v/>
      </c>
      <c r="M8" s="156">
        <f>M6*(Assumptions!B24+Assumptions!B25*0)</f>
        <v/>
      </c>
      <c r="N8" s="156">
        <f>N6*(Assumptions!B24+Assumptions!B25*0)</f>
        <v/>
      </c>
      <c r="O8" s="156">
        <f>O6*(Assumptions!B24+Assumptions!B25*1)</f>
        <v/>
      </c>
      <c r="P8" s="156">
        <f>P6*(Assumptions!B24+Assumptions!B25*1)</f>
        <v/>
      </c>
      <c r="Q8" s="156">
        <f>Q6*(Assumptions!B24+Assumptions!B25*1)</f>
        <v/>
      </c>
      <c r="R8" s="156">
        <f>R6*(Assumptions!B24+Assumptions!B25*1)</f>
        <v/>
      </c>
      <c r="S8" s="156">
        <f>S6*(Assumptions!B24+Assumptions!B25*1)</f>
        <v/>
      </c>
      <c r="T8" s="156">
        <f>T6*(Assumptions!B24+Assumptions!B25*1)</f>
        <v/>
      </c>
      <c r="U8" s="156">
        <f>U6*(Assumptions!B24+Assumptions!B25*1)</f>
        <v/>
      </c>
      <c r="V8" s="156">
        <f>V6*(Assumptions!B24+Assumptions!B25*1)</f>
        <v/>
      </c>
      <c r="W8" s="156">
        <f>W6*(Assumptions!B24+Assumptions!B25*1)</f>
        <v/>
      </c>
      <c r="X8" s="156">
        <f>X6*(Assumptions!B24+Assumptions!B25*1)</f>
        <v/>
      </c>
      <c r="Y8" s="156">
        <f>Y6*(Assumptions!B24+Assumptions!B25*1)</f>
        <v/>
      </c>
      <c r="Z8" s="156">
        <f>Z6*(Assumptions!B24+Assumptions!B25*1)</f>
        <v/>
      </c>
      <c r="AA8" s="156">
        <f>AA6*(Assumptions!B24+Assumptions!B25*2)</f>
        <v/>
      </c>
      <c r="AB8" s="156">
        <f>AB6*(Assumptions!B24+Assumptions!B25*2)</f>
        <v/>
      </c>
      <c r="AC8" s="156">
        <f>AC6*(Assumptions!B24+Assumptions!B25*2)</f>
        <v/>
      </c>
      <c r="AD8" s="156">
        <f>AD6*(Assumptions!B24+Assumptions!B25*2)</f>
        <v/>
      </c>
      <c r="AE8" s="156">
        <f>AE6*(Assumptions!B24+Assumptions!B25*2)</f>
        <v/>
      </c>
      <c r="AF8" s="156">
        <f>AF6*(Assumptions!B24+Assumptions!B25*2)</f>
        <v/>
      </c>
      <c r="AG8" s="156">
        <f>AG6*(Assumptions!B24+Assumptions!B25*2)</f>
        <v/>
      </c>
      <c r="AH8" s="156">
        <f>AH6*(Assumptions!B24+Assumptions!B25*2)</f>
        <v/>
      </c>
      <c r="AI8" s="156">
        <f>AI6*(Assumptions!B24+Assumptions!B25*2)</f>
        <v/>
      </c>
      <c r="AJ8" s="156">
        <f>AJ6*(Assumptions!B24+Assumptions!B25*2)</f>
        <v/>
      </c>
      <c r="AK8" s="156">
        <f>AK6*(Assumptions!B24+Assumptions!B25*2)</f>
        <v/>
      </c>
      <c r="AL8" s="156">
        <f>AL6*(Assumptions!B24+Assumptions!B25*2)</f>
        <v/>
      </c>
      <c r="AM8" s="156">
        <f>AM6*(Assumptions!B24+Assumptions!B25*3)</f>
        <v/>
      </c>
      <c r="AN8" s="156">
        <f>AN6*(Assumptions!B24+Assumptions!B25*3)</f>
        <v/>
      </c>
      <c r="AO8" s="156">
        <f>AO6*(Assumptions!B24+Assumptions!B25*3)</f>
        <v/>
      </c>
      <c r="AP8" s="156">
        <f>AP6*(Assumptions!B24+Assumptions!B25*3)</f>
        <v/>
      </c>
      <c r="AQ8" s="156">
        <f>AQ6*(Assumptions!B24+Assumptions!B25*3)</f>
        <v/>
      </c>
      <c r="AR8" s="156">
        <f>AR6*(Assumptions!B24+Assumptions!B25*3)</f>
        <v/>
      </c>
      <c r="AS8" s="156">
        <f>AS6*(Assumptions!B24+Assumptions!B25*3)</f>
        <v/>
      </c>
      <c r="AT8" s="156">
        <f>AT6*(Assumptions!B24+Assumptions!B25*3)</f>
        <v/>
      </c>
      <c r="AU8" s="156">
        <f>AU6*(Assumptions!B24+Assumptions!B25*3)</f>
        <v/>
      </c>
      <c r="AV8" s="156">
        <f>AV6*(Assumptions!B24+Assumptions!B25*3)</f>
        <v/>
      </c>
      <c r="AW8" s="156">
        <f>AW6*(Assumptions!B24+Assumptions!B25*3)</f>
        <v/>
      </c>
      <c r="AX8" s="156">
        <f>AX6*(Assumptions!B24+Assumptions!B25*3)</f>
        <v/>
      </c>
      <c r="AY8" s="156">
        <f>AY6*(Assumptions!B24+Assumptions!B25*4)</f>
        <v/>
      </c>
      <c r="AZ8" s="156">
        <f>AZ6*(Assumptions!B24+Assumptions!B25*4)</f>
        <v/>
      </c>
      <c r="BA8" s="156">
        <f>BA6*(Assumptions!B24+Assumptions!B25*4)</f>
        <v/>
      </c>
      <c r="BB8" s="156">
        <f>BB6*(Assumptions!B24+Assumptions!B25*4)</f>
        <v/>
      </c>
      <c r="BC8" s="156">
        <f>BC6*(Assumptions!B24+Assumptions!B25*4)</f>
        <v/>
      </c>
      <c r="BD8" s="156">
        <f>BD6*(Assumptions!B24+Assumptions!B25*4)</f>
        <v/>
      </c>
      <c r="BE8" s="156">
        <f>BE6*(Assumptions!B24+Assumptions!B25*4)</f>
        <v/>
      </c>
      <c r="BF8" s="156">
        <f>BF6*(Assumptions!B24+Assumptions!B25*4)</f>
        <v/>
      </c>
      <c r="BG8" s="156">
        <f>BG6*(Assumptions!B24+Assumptions!B25*4)</f>
        <v/>
      </c>
      <c r="BH8" s="156">
        <f>BH6*(Assumptions!B24+Assumptions!B25*4)</f>
        <v/>
      </c>
      <c r="BI8" s="156">
        <f>BI6*(Assumptions!B24+Assumptions!B25*4)</f>
        <v/>
      </c>
      <c r="BJ8" s="156">
        <f>BJ6*(Assumptions!B24+Assumptions!B25*4)</f>
        <v/>
      </c>
      <c r="BL8" s="157">
        <f>C8+D8+E8+F8+G8+H8+I8+J8+K8+L8+M8+N8</f>
        <v/>
      </c>
      <c r="BM8" s="157">
        <f>O8+P8+Q8+R8+S8+T8+U8+V8+W8+X8+Y8+Z8</f>
        <v/>
      </c>
      <c r="BN8" s="157">
        <f>AA8+AB8+AC8+AD8+AE8+AF8+AG8+AH8+AI8+AJ8+AK8+AL8</f>
        <v/>
      </c>
      <c r="BO8" s="157">
        <f>AM8+AN8+AO8+AP8+AQ8+AR8+AS8+AT8+AU8+AV8+AW8+AX8</f>
        <v/>
      </c>
      <c r="BP8" s="157">
        <f>AY8+AZ8+BA8+BB8+BC8+BD8+BE8+BF8+BG8+BH8+BI8+BJ8</f>
        <v/>
      </c>
    </row>
    <row r="9" ht="15" customHeight="1" s="104">
      <c r="A9" s="215" t="inlineStr">
        <is>
          <t xml:space="preserve">    % of Revenue</t>
        </is>
      </c>
      <c r="C9" s="216">
        <f>IF(C6=0,0,C8/C6)</f>
        <v/>
      </c>
      <c r="D9" s="216">
        <f>IF(D6=0,0,D8/D6)</f>
        <v/>
      </c>
      <c r="E9" s="216">
        <f>IF(E6=0,0,E8/E6)</f>
        <v/>
      </c>
      <c r="F9" s="216">
        <f>IF(F6=0,0,F8/F6)</f>
        <v/>
      </c>
      <c r="G9" s="216">
        <f>IF(G6=0,0,G8/G6)</f>
        <v/>
      </c>
      <c r="H9" s="216">
        <f>IF(H6=0,0,H8/H6)</f>
        <v/>
      </c>
      <c r="I9" s="216">
        <f>IF(I6=0,0,I8/I6)</f>
        <v/>
      </c>
      <c r="J9" s="216">
        <f>IF(J6=0,0,J8/J6)</f>
        <v/>
      </c>
      <c r="K9" s="216">
        <f>IF(K6=0,0,K8/K6)</f>
        <v/>
      </c>
      <c r="L9" s="216">
        <f>IF(L6=0,0,L8/L6)</f>
        <v/>
      </c>
      <c r="M9" s="216">
        <f>IF(M6=0,0,M8/M6)</f>
        <v/>
      </c>
      <c r="N9" s="216">
        <f>IF(N6=0,0,N8/N6)</f>
        <v/>
      </c>
      <c r="O9" s="216">
        <f>IF(O6=0,0,O8/O6)</f>
        <v/>
      </c>
      <c r="P9" s="216">
        <f>IF(P6=0,0,P8/P6)</f>
        <v/>
      </c>
      <c r="Q9" s="216">
        <f>IF(Q6=0,0,Q8/Q6)</f>
        <v/>
      </c>
      <c r="R9" s="216">
        <f>IF(R6=0,0,R8/R6)</f>
        <v/>
      </c>
      <c r="S9" s="216">
        <f>IF(S6=0,0,S8/S6)</f>
        <v/>
      </c>
      <c r="T9" s="216">
        <f>IF(T6=0,0,T8/T6)</f>
        <v/>
      </c>
      <c r="U9" s="216">
        <f>IF(U6=0,0,U8/U6)</f>
        <v/>
      </c>
      <c r="V9" s="216">
        <f>IF(V6=0,0,V8/V6)</f>
        <v/>
      </c>
      <c r="W9" s="216">
        <f>IF(W6=0,0,W8/W6)</f>
        <v/>
      </c>
      <c r="X9" s="216">
        <f>IF(X6=0,0,X8/X6)</f>
        <v/>
      </c>
      <c r="Y9" s="216">
        <f>IF(Y6=0,0,Y8/Y6)</f>
        <v/>
      </c>
      <c r="Z9" s="216">
        <f>IF(Z6=0,0,Z8/Z6)</f>
        <v/>
      </c>
      <c r="AA9" s="216">
        <f>IF(AA6=0,0,AA8/AA6)</f>
        <v/>
      </c>
      <c r="AB9" s="216">
        <f>IF(AB6=0,0,AB8/AB6)</f>
        <v/>
      </c>
      <c r="AC9" s="216">
        <f>IF(AC6=0,0,AC8/AC6)</f>
        <v/>
      </c>
      <c r="AD9" s="216">
        <f>IF(AD6=0,0,AD8/AD6)</f>
        <v/>
      </c>
      <c r="AE9" s="216">
        <f>IF(AE6=0,0,AE8/AE6)</f>
        <v/>
      </c>
      <c r="AF9" s="216">
        <f>IF(AF6=0,0,AF8/AF6)</f>
        <v/>
      </c>
      <c r="AG9" s="216">
        <f>IF(AG6=0,0,AG8/AG6)</f>
        <v/>
      </c>
      <c r="AH9" s="216">
        <f>IF(AH6=0,0,AH8/AH6)</f>
        <v/>
      </c>
      <c r="AI9" s="216">
        <f>IF(AI6=0,0,AI8/AI6)</f>
        <v/>
      </c>
      <c r="AJ9" s="216">
        <f>IF(AJ6=0,0,AJ8/AJ6)</f>
        <v/>
      </c>
      <c r="AK9" s="216">
        <f>IF(AK6=0,0,AK8/AK6)</f>
        <v/>
      </c>
      <c r="AL9" s="216">
        <f>IF(AL6=0,0,AL8/AL6)</f>
        <v/>
      </c>
      <c r="AM9" s="216">
        <f>IF(AM6=0,0,AM8/AM6)</f>
        <v/>
      </c>
      <c r="AN9" s="216">
        <f>IF(AN6=0,0,AN8/AN6)</f>
        <v/>
      </c>
      <c r="AO9" s="216">
        <f>IF(AO6=0,0,AO8/AO6)</f>
        <v/>
      </c>
      <c r="AP9" s="216">
        <f>IF(AP6=0,0,AP8/AP6)</f>
        <v/>
      </c>
      <c r="AQ9" s="216">
        <f>IF(AQ6=0,0,AQ8/AQ6)</f>
        <v/>
      </c>
      <c r="AR9" s="216">
        <f>IF(AR6=0,0,AR8/AR6)</f>
        <v/>
      </c>
      <c r="AS9" s="216">
        <f>IF(AS6=0,0,AS8/AS6)</f>
        <v/>
      </c>
      <c r="AT9" s="216">
        <f>IF(AT6=0,0,AT8/AT6)</f>
        <v/>
      </c>
      <c r="AU9" s="216">
        <f>IF(AU6=0,0,AU8/AU6)</f>
        <v/>
      </c>
      <c r="AV9" s="216">
        <f>IF(AV6=0,0,AV8/AV6)</f>
        <v/>
      </c>
      <c r="AW9" s="216">
        <f>IF(AW6=0,0,AW8/AW6)</f>
        <v/>
      </c>
      <c r="AX9" s="216">
        <f>IF(AX6=0,0,AX8/AX6)</f>
        <v/>
      </c>
      <c r="AY9" s="216">
        <f>IF(AY6=0,0,AY8/AY6)</f>
        <v/>
      </c>
      <c r="AZ9" s="216">
        <f>IF(AZ6=0,0,AZ8/AZ6)</f>
        <v/>
      </c>
      <c r="BA9" s="216">
        <f>IF(BA6=0,0,BA8/BA6)</f>
        <v/>
      </c>
      <c r="BB9" s="216">
        <f>IF(BB6=0,0,BB8/BB6)</f>
        <v/>
      </c>
      <c r="BC9" s="216">
        <f>IF(BC6=0,0,BC8/BC6)</f>
        <v/>
      </c>
      <c r="BD9" s="216">
        <f>IF(BD6=0,0,BD8/BD6)</f>
        <v/>
      </c>
      <c r="BE9" s="216">
        <f>IF(BE6=0,0,BE8/BE6)</f>
        <v/>
      </c>
      <c r="BF9" s="216">
        <f>IF(BF6=0,0,BF8/BF6)</f>
        <v/>
      </c>
      <c r="BG9" s="216">
        <f>IF(BG6=0,0,BG8/BG6)</f>
        <v/>
      </c>
      <c r="BH9" s="216">
        <f>IF(BH6=0,0,BH8/BH6)</f>
        <v/>
      </c>
      <c r="BI9" s="216">
        <f>IF(BI6=0,0,BI8/BI6)</f>
        <v/>
      </c>
      <c r="BJ9" s="216">
        <f>IF(BJ6=0,0,BJ8/BJ6)</f>
        <v/>
      </c>
      <c r="BL9" s="217">
        <f>IF((C6+D6+E6+F6+G6+H6+I6+J6+K6+L6+M6+N6)=0,0,(C8+D8+E8+F8+G8+H8+I8+J8+K8+L8+M8+N8)/(C6+D6+E6+F6+G6+H6+I6+J6+K6+L6+M6+N6))</f>
        <v/>
      </c>
      <c r="BM9" s="217">
        <f>IF((O6+P6+Q6+R6+S6+T6+U6+V6+W6+X6+Y6+Z6)=0,0,(O8+P8+Q8+R8+S8+T8+U8+V8+W8+X8+Y8+Z8)/(O6+P6+Q6+R6+S6+T6+U6+V6+W6+X6+Y6+Z6))</f>
        <v/>
      </c>
      <c r="BN9" s="217">
        <f>IF((AA6+AB6+AC6+AD6+AE6+AF6+AG6+AH6+AI6+AJ6+AK6+AL6)=0,0,(AA8+AB8+AC8+AD8+AE8+AF8+AG8+AH8+AI8+AJ8+AK8+AL8)/(AA6+AB6+AC6+AD6+AE6+AF6+AG6+AH6+AI6+AJ6+AK6+AL6))</f>
        <v/>
      </c>
      <c r="BO9" s="217">
        <f>IF((AM6+AN6+AO6+AP6+AQ6+AR6+AS6+AT6+AU6+AV6+AW6+AX6)=0,0,(AM8+AN8+AO8+AP8+AQ8+AR8+AS8+AT8+AU8+AV8+AW8+AX8)/(AM6+AN6+AO6+AP6+AQ6+AR6+AS6+AT6+AU6+AV6+AW6+AX6))</f>
        <v/>
      </c>
      <c r="BP9" s="217">
        <f>IF((AY6+AZ6+BA6+BB6+BC6+BD6+BE6+BF6+BG6+BH6+BI6+BJ6)=0,0,(AY8+AZ8+BA8+BB8+BC8+BD8+BE8+BF8+BG8+BH8+BI8+BJ8)/(AY6+AZ6+BA6+BB6+BC6+BD6+BE6+BF6+BG6+BH6+BI6+BJ6))</f>
        <v/>
      </c>
    </row>
    <row r="10" ht="15" customHeight="1" s="104">
      <c r="A10" s="107" t="inlineStr">
        <is>
          <t>Staff Compensation</t>
        </is>
      </c>
      <c r="C10" s="156">
        <f>C6*(Assumptions!B26+Assumptions!B27*0)</f>
        <v/>
      </c>
      <c r="D10" s="156">
        <f>D6*(Assumptions!B26+Assumptions!B27*0)</f>
        <v/>
      </c>
      <c r="E10" s="156">
        <f>E6*(Assumptions!B26+Assumptions!B27*0)</f>
        <v/>
      </c>
      <c r="F10" s="156">
        <f>F6*(Assumptions!B26+Assumptions!B27*0)</f>
        <v/>
      </c>
      <c r="G10" s="156">
        <f>G6*(Assumptions!B26+Assumptions!B27*0)</f>
        <v/>
      </c>
      <c r="H10" s="156">
        <f>H6*(Assumptions!B26+Assumptions!B27*0)</f>
        <v/>
      </c>
      <c r="I10" s="156">
        <f>I6*(Assumptions!B26+Assumptions!B27*0)</f>
        <v/>
      </c>
      <c r="J10" s="156">
        <f>J6*(Assumptions!B26+Assumptions!B27*0)</f>
        <v/>
      </c>
      <c r="K10" s="156">
        <f>K6*(Assumptions!B26+Assumptions!B27*0)</f>
        <v/>
      </c>
      <c r="L10" s="156">
        <f>L6*(Assumptions!B26+Assumptions!B27*0)</f>
        <v/>
      </c>
      <c r="M10" s="156">
        <f>M6*(Assumptions!B26+Assumptions!B27*0)</f>
        <v/>
      </c>
      <c r="N10" s="156">
        <f>N6*(Assumptions!B26+Assumptions!B27*0)</f>
        <v/>
      </c>
      <c r="O10" s="156">
        <f>O6*(Assumptions!B26+Assumptions!B27*1)</f>
        <v/>
      </c>
      <c r="P10" s="156">
        <f>P6*(Assumptions!B26+Assumptions!B27*1)</f>
        <v/>
      </c>
      <c r="Q10" s="156">
        <f>Q6*(Assumptions!B26+Assumptions!B27*1)</f>
        <v/>
      </c>
      <c r="R10" s="156">
        <f>R6*(Assumptions!B26+Assumptions!B27*1)</f>
        <v/>
      </c>
      <c r="S10" s="156">
        <f>S6*(Assumptions!B26+Assumptions!B27*1)</f>
        <v/>
      </c>
      <c r="T10" s="156">
        <f>T6*(Assumptions!B26+Assumptions!B27*1)</f>
        <v/>
      </c>
      <c r="U10" s="156">
        <f>U6*(Assumptions!B26+Assumptions!B27*1)</f>
        <v/>
      </c>
      <c r="V10" s="156">
        <f>V6*(Assumptions!B26+Assumptions!B27*1)</f>
        <v/>
      </c>
      <c r="W10" s="156">
        <f>W6*(Assumptions!B26+Assumptions!B27*1)</f>
        <v/>
      </c>
      <c r="X10" s="156">
        <f>X6*(Assumptions!B26+Assumptions!B27*1)</f>
        <v/>
      </c>
      <c r="Y10" s="156">
        <f>Y6*(Assumptions!B26+Assumptions!B27*1)</f>
        <v/>
      </c>
      <c r="Z10" s="156">
        <f>Z6*(Assumptions!B26+Assumptions!B27*1)</f>
        <v/>
      </c>
      <c r="AA10" s="156">
        <f>AA6*(Assumptions!B26+Assumptions!B27*2)</f>
        <v/>
      </c>
      <c r="AB10" s="156">
        <f>AB6*(Assumptions!B26+Assumptions!B27*2)</f>
        <v/>
      </c>
      <c r="AC10" s="156">
        <f>AC6*(Assumptions!B26+Assumptions!B27*2)</f>
        <v/>
      </c>
      <c r="AD10" s="156">
        <f>AD6*(Assumptions!B26+Assumptions!B27*2)</f>
        <v/>
      </c>
      <c r="AE10" s="156">
        <f>AE6*(Assumptions!B26+Assumptions!B27*2)</f>
        <v/>
      </c>
      <c r="AF10" s="156">
        <f>AF6*(Assumptions!B26+Assumptions!B27*2)</f>
        <v/>
      </c>
      <c r="AG10" s="156">
        <f>AG6*(Assumptions!B26+Assumptions!B27*2)</f>
        <v/>
      </c>
      <c r="AH10" s="156">
        <f>AH6*(Assumptions!B26+Assumptions!B27*2)</f>
        <v/>
      </c>
      <c r="AI10" s="156">
        <f>AI6*(Assumptions!B26+Assumptions!B27*2)</f>
        <v/>
      </c>
      <c r="AJ10" s="156">
        <f>AJ6*(Assumptions!B26+Assumptions!B27*2)</f>
        <v/>
      </c>
      <c r="AK10" s="156">
        <f>AK6*(Assumptions!B26+Assumptions!B27*2)</f>
        <v/>
      </c>
      <c r="AL10" s="156">
        <f>AL6*(Assumptions!B26+Assumptions!B27*2)</f>
        <v/>
      </c>
      <c r="AM10" s="156">
        <f>AM6*(Assumptions!B26+Assumptions!B27*3)</f>
        <v/>
      </c>
      <c r="AN10" s="156">
        <f>AN6*(Assumptions!B26+Assumptions!B27*3)</f>
        <v/>
      </c>
      <c r="AO10" s="156">
        <f>AO6*(Assumptions!B26+Assumptions!B27*3)</f>
        <v/>
      </c>
      <c r="AP10" s="156">
        <f>AP6*(Assumptions!B26+Assumptions!B27*3)</f>
        <v/>
      </c>
      <c r="AQ10" s="156">
        <f>AQ6*(Assumptions!B26+Assumptions!B27*3)</f>
        <v/>
      </c>
      <c r="AR10" s="156">
        <f>AR6*(Assumptions!B26+Assumptions!B27*3)</f>
        <v/>
      </c>
      <c r="AS10" s="156">
        <f>AS6*(Assumptions!B26+Assumptions!B27*3)</f>
        <v/>
      </c>
      <c r="AT10" s="156">
        <f>AT6*(Assumptions!B26+Assumptions!B27*3)</f>
        <v/>
      </c>
      <c r="AU10" s="156">
        <f>AU6*(Assumptions!B26+Assumptions!B27*3)</f>
        <v/>
      </c>
      <c r="AV10" s="156">
        <f>AV6*(Assumptions!B26+Assumptions!B27*3)</f>
        <v/>
      </c>
      <c r="AW10" s="156">
        <f>AW6*(Assumptions!B26+Assumptions!B27*3)</f>
        <v/>
      </c>
      <c r="AX10" s="156">
        <f>AX6*(Assumptions!B26+Assumptions!B27*3)</f>
        <v/>
      </c>
      <c r="AY10" s="156">
        <f>AY6*(Assumptions!B26+Assumptions!B27*4)</f>
        <v/>
      </c>
      <c r="AZ10" s="156">
        <f>AZ6*(Assumptions!B26+Assumptions!B27*4)</f>
        <v/>
      </c>
      <c r="BA10" s="156">
        <f>BA6*(Assumptions!B26+Assumptions!B27*4)</f>
        <v/>
      </c>
      <c r="BB10" s="156">
        <f>BB6*(Assumptions!B26+Assumptions!B27*4)</f>
        <v/>
      </c>
      <c r="BC10" s="156">
        <f>BC6*(Assumptions!B26+Assumptions!B27*4)</f>
        <v/>
      </c>
      <c r="BD10" s="156">
        <f>BD6*(Assumptions!B26+Assumptions!B27*4)</f>
        <v/>
      </c>
      <c r="BE10" s="156">
        <f>BE6*(Assumptions!B26+Assumptions!B27*4)</f>
        <v/>
      </c>
      <c r="BF10" s="156">
        <f>BF6*(Assumptions!B26+Assumptions!B27*4)</f>
        <v/>
      </c>
      <c r="BG10" s="156">
        <f>BG6*(Assumptions!B26+Assumptions!B27*4)</f>
        <v/>
      </c>
      <c r="BH10" s="156">
        <f>BH6*(Assumptions!B26+Assumptions!B27*4)</f>
        <v/>
      </c>
      <c r="BI10" s="156">
        <f>BI6*(Assumptions!B26+Assumptions!B27*4)</f>
        <v/>
      </c>
      <c r="BJ10" s="156">
        <f>BJ6*(Assumptions!B26+Assumptions!B27*4)</f>
        <v/>
      </c>
      <c r="BL10" s="157">
        <f>C10+D10+E10+F10+G10+H10+I10+J10+K10+L10+M10+N10</f>
        <v/>
      </c>
      <c r="BM10" s="157">
        <f>O10+P10+Q10+R10+S10+T10+U10+V10+W10+X10+Y10+Z10</f>
        <v/>
      </c>
      <c r="BN10" s="157">
        <f>AA10+AB10+AC10+AD10+AE10+AF10+AG10+AH10+AI10+AJ10+AK10+AL10</f>
        <v/>
      </c>
      <c r="BO10" s="157">
        <f>AM10+AN10+AO10+AP10+AQ10+AR10+AS10+AT10+AU10+AV10+AW10+AX10</f>
        <v/>
      </c>
      <c r="BP10" s="157">
        <f>AY10+AZ10+BA10+BB10+BC10+BD10+BE10+BF10+BG10+BH10+BI10+BJ10</f>
        <v/>
      </c>
    </row>
    <row r="11" ht="15" customHeight="1" s="104">
      <c r="A11" s="215" t="inlineStr">
        <is>
          <t xml:space="preserve">    % of Revenue</t>
        </is>
      </c>
      <c r="C11" s="216">
        <f>IF(C6=0,0,C10/C6)</f>
        <v/>
      </c>
      <c r="D11" s="216">
        <f>IF(D6=0,0,D10/D6)</f>
        <v/>
      </c>
      <c r="E11" s="216">
        <f>IF(E6=0,0,E10/E6)</f>
        <v/>
      </c>
      <c r="F11" s="216">
        <f>IF(F6=0,0,F10/F6)</f>
        <v/>
      </c>
      <c r="G11" s="216">
        <f>IF(G6=0,0,G10/G6)</f>
        <v/>
      </c>
      <c r="H11" s="216">
        <f>IF(H6=0,0,H10/H6)</f>
        <v/>
      </c>
      <c r="I11" s="216">
        <f>IF(I6=0,0,I10/I6)</f>
        <v/>
      </c>
      <c r="J11" s="216">
        <f>IF(J6=0,0,J10/J6)</f>
        <v/>
      </c>
      <c r="K11" s="216">
        <f>IF(K6=0,0,K10/K6)</f>
        <v/>
      </c>
      <c r="L11" s="216">
        <f>IF(L6=0,0,L10/L6)</f>
        <v/>
      </c>
      <c r="M11" s="216">
        <f>IF(M6=0,0,M10/M6)</f>
        <v/>
      </c>
      <c r="N11" s="216">
        <f>IF(N6=0,0,N10/N6)</f>
        <v/>
      </c>
      <c r="O11" s="216">
        <f>IF(O6=0,0,O10/O6)</f>
        <v/>
      </c>
      <c r="P11" s="216">
        <f>IF(P6=0,0,P10/P6)</f>
        <v/>
      </c>
      <c r="Q11" s="216">
        <f>IF(Q6=0,0,Q10/Q6)</f>
        <v/>
      </c>
      <c r="R11" s="216">
        <f>IF(R6=0,0,R10/R6)</f>
        <v/>
      </c>
      <c r="S11" s="216">
        <f>IF(S6=0,0,S10/S6)</f>
        <v/>
      </c>
      <c r="T11" s="216">
        <f>IF(T6=0,0,T10/T6)</f>
        <v/>
      </c>
      <c r="U11" s="216">
        <f>IF(U6=0,0,U10/U6)</f>
        <v/>
      </c>
      <c r="V11" s="216">
        <f>IF(V6=0,0,V10/V6)</f>
        <v/>
      </c>
      <c r="W11" s="216">
        <f>IF(W6=0,0,W10/W6)</f>
        <v/>
      </c>
      <c r="X11" s="216">
        <f>IF(X6=0,0,X10/X6)</f>
        <v/>
      </c>
      <c r="Y11" s="216">
        <f>IF(Y6=0,0,Y10/Y6)</f>
        <v/>
      </c>
      <c r="Z11" s="216">
        <f>IF(Z6=0,0,Z10/Z6)</f>
        <v/>
      </c>
      <c r="AA11" s="216">
        <f>IF(AA6=0,0,AA10/AA6)</f>
        <v/>
      </c>
      <c r="AB11" s="216">
        <f>IF(AB6=0,0,AB10/AB6)</f>
        <v/>
      </c>
      <c r="AC11" s="216">
        <f>IF(AC6=0,0,AC10/AC6)</f>
        <v/>
      </c>
      <c r="AD11" s="216">
        <f>IF(AD6=0,0,AD10/AD6)</f>
        <v/>
      </c>
      <c r="AE11" s="216">
        <f>IF(AE6=0,0,AE10/AE6)</f>
        <v/>
      </c>
      <c r="AF11" s="216">
        <f>IF(AF6=0,0,AF10/AF6)</f>
        <v/>
      </c>
      <c r="AG11" s="216">
        <f>IF(AG6=0,0,AG10/AG6)</f>
        <v/>
      </c>
      <c r="AH11" s="216">
        <f>IF(AH6=0,0,AH10/AH6)</f>
        <v/>
      </c>
      <c r="AI11" s="216">
        <f>IF(AI6=0,0,AI10/AI6)</f>
        <v/>
      </c>
      <c r="AJ11" s="216">
        <f>IF(AJ6=0,0,AJ10/AJ6)</f>
        <v/>
      </c>
      <c r="AK11" s="216">
        <f>IF(AK6=0,0,AK10/AK6)</f>
        <v/>
      </c>
      <c r="AL11" s="216">
        <f>IF(AL6=0,0,AL10/AL6)</f>
        <v/>
      </c>
      <c r="AM11" s="216">
        <f>IF(AM6=0,0,AM10/AM6)</f>
        <v/>
      </c>
      <c r="AN11" s="216">
        <f>IF(AN6=0,0,AN10/AN6)</f>
        <v/>
      </c>
      <c r="AO11" s="216">
        <f>IF(AO6=0,0,AO10/AO6)</f>
        <v/>
      </c>
      <c r="AP11" s="216">
        <f>IF(AP6=0,0,AP10/AP6)</f>
        <v/>
      </c>
      <c r="AQ11" s="216">
        <f>IF(AQ6=0,0,AQ10/AQ6)</f>
        <v/>
      </c>
      <c r="AR11" s="216">
        <f>IF(AR6=0,0,AR10/AR6)</f>
        <v/>
      </c>
      <c r="AS11" s="216">
        <f>IF(AS6=0,0,AS10/AS6)</f>
        <v/>
      </c>
      <c r="AT11" s="216">
        <f>IF(AT6=0,0,AT10/AT6)</f>
        <v/>
      </c>
      <c r="AU11" s="216">
        <f>IF(AU6=0,0,AU10/AU6)</f>
        <v/>
      </c>
      <c r="AV11" s="216">
        <f>IF(AV6=0,0,AV10/AV6)</f>
        <v/>
      </c>
      <c r="AW11" s="216">
        <f>IF(AW6=0,0,AW10/AW6)</f>
        <v/>
      </c>
      <c r="AX11" s="216">
        <f>IF(AX6=0,0,AX10/AX6)</f>
        <v/>
      </c>
      <c r="AY11" s="216">
        <f>IF(AY6=0,0,AY10/AY6)</f>
        <v/>
      </c>
      <c r="AZ11" s="216">
        <f>IF(AZ6=0,0,AZ10/AZ6)</f>
        <v/>
      </c>
      <c r="BA11" s="216">
        <f>IF(BA6=0,0,BA10/BA6)</f>
        <v/>
      </c>
      <c r="BB11" s="216">
        <f>IF(BB6=0,0,BB10/BB6)</f>
        <v/>
      </c>
      <c r="BC11" s="216">
        <f>IF(BC6=0,0,BC10/BC6)</f>
        <v/>
      </c>
      <c r="BD11" s="216">
        <f>IF(BD6=0,0,BD10/BD6)</f>
        <v/>
      </c>
      <c r="BE11" s="216">
        <f>IF(BE6=0,0,BE10/BE6)</f>
        <v/>
      </c>
      <c r="BF11" s="216">
        <f>IF(BF6=0,0,BF10/BF6)</f>
        <v/>
      </c>
      <c r="BG11" s="216">
        <f>IF(BG6=0,0,BG10/BG6)</f>
        <v/>
      </c>
      <c r="BH11" s="216">
        <f>IF(BH6=0,0,BH10/BH6)</f>
        <v/>
      </c>
      <c r="BI11" s="216">
        <f>IF(BI6=0,0,BI10/BI6)</f>
        <v/>
      </c>
      <c r="BJ11" s="216">
        <f>IF(BJ6=0,0,BJ10/BJ6)</f>
        <v/>
      </c>
      <c r="BL11" s="217">
        <f>IF((C6+D6+E6+F6+G6+H6+I6+J6+K6+L6+M6+N6)=0,0,(C10+D10+E10+F10+G10+H10+I10+J10+K10+L10+M10+N10)/(C6+D6+E6+F6+G6+H6+I6+J6+K6+L6+M6+N6))</f>
        <v/>
      </c>
      <c r="BM11" s="217">
        <f>IF((O6+P6+Q6+R6+S6+T6+U6+V6+W6+X6+Y6+Z6)=0,0,(O10+P10+Q10+R10+S10+T10+U10+V10+W10+X10+Y10+Z10)/(O6+P6+Q6+R6+S6+T6+U6+V6+W6+X6+Y6+Z6))</f>
        <v/>
      </c>
      <c r="BN11" s="217">
        <f>IF((AA6+AB6+AC6+AD6+AE6+AF6+AG6+AH6+AI6+AJ6+AK6+AL6)=0,0,(AA10+AB10+AC10+AD10+AE10+AF10+AG10+AH10+AI10+AJ10+AK10+AL10)/(AA6+AB6+AC6+AD6+AE6+AF6+AG6+AH6+AI6+AJ6+AK6+AL6))</f>
        <v/>
      </c>
      <c r="BO11" s="217">
        <f>IF((AM6+AN6+AO6+AP6+AQ6+AR6+AS6+AT6+AU6+AV6+AW6+AX6)=0,0,(AM10+AN10+AO10+AP10+AQ10+AR10+AS10+AT10+AU10+AV10+AW10+AX10)/(AM6+AN6+AO6+AP6+AQ6+AR6+AS6+AT6+AU6+AV6+AW6+AX6))</f>
        <v/>
      </c>
      <c r="BP11" s="217">
        <f>IF((AY6+AZ6+BA6+BB6+BC6+BD6+BE6+BF6+BG6+BH6+BI6+BJ6)=0,0,(AY10+AZ10+BA10+BB10+BC10+BD10+BE10+BF10+BG10+BH10+BI10+BJ10)/(AY6+AZ6+BA6+BB6+BC6+BD6+BE6+BF6+BG6+BH6+BI6+BJ6))</f>
        <v/>
      </c>
    </row>
    <row r="12" ht="15" customHeight="1" s="104">
      <c r="A12" s="107" t="inlineStr">
        <is>
          <t>Occupancy &amp; Facilities</t>
        </is>
      </c>
      <c r="C12" s="156">
        <f>C6*(Assumptions!B28+Assumptions!B29*0)</f>
        <v/>
      </c>
      <c r="D12" s="156">
        <f>D6*(Assumptions!B28+Assumptions!B29*0)</f>
        <v/>
      </c>
      <c r="E12" s="156">
        <f>E6*(Assumptions!B28+Assumptions!B29*0)</f>
        <v/>
      </c>
      <c r="F12" s="156">
        <f>F6*(Assumptions!B28+Assumptions!B29*0)</f>
        <v/>
      </c>
      <c r="G12" s="156">
        <f>G6*(Assumptions!B28+Assumptions!B29*0)</f>
        <v/>
      </c>
      <c r="H12" s="156">
        <f>H6*(Assumptions!B28+Assumptions!B29*0)</f>
        <v/>
      </c>
      <c r="I12" s="156">
        <f>I6*(Assumptions!B28+Assumptions!B29*0)</f>
        <v/>
      </c>
      <c r="J12" s="156">
        <f>J6*(Assumptions!B28+Assumptions!B29*0)</f>
        <v/>
      </c>
      <c r="K12" s="156">
        <f>K6*(Assumptions!B28+Assumptions!B29*0)</f>
        <v/>
      </c>
      <c r="L12" s="156">
        <f>L6*(Assumptions!B28+Assumptions!B29*0)</f>
        <v/>
      </c>
      <c r="M12" s="156">
        <f>M6*(Assumptions!B28+Assumptions!B29*0)</f>
        <v/>
      </c>
      <c r="N12" s="156">
        <f>N6*(Assumptions!B28+Assumptions!B29*0)</f>
        <v/>
      </c>
      <c r="O12" s="156">
        <f>O6*(Assumptions!B28+Assumptions!B29*1)</f>
        <v/>
      </c>
      <c r="P12" s="156">
        <f>P6*(Assumptions!B28+Assumptions!B29*1)</f>
        <v/>
      </c>
      <c r="Q12" s="156">
        <f>Q6*(Assumptions!B28+Assumptions!B29*1)</f>
        <v/>
      </c>
      <c r="R12" s="156">
        <f>R6*(Assumptions!B28+Assumptions!B29*1)</f>
        <v/>
      </c>
      <c r="S12" s="156">
        <f>S6*(Assumptions!B28+Assumptions!B29*1)</f>
        <v/>
      </c>
      <c r="T12" s="156">
        <f>T6*(Assumptions!B28+Assumptions!B29*1)</f>
        <v/>
      </c>
      <c r="U12" s="156">
        <f>U6*(Assumptions!B28+Assumptions!B29*1)</f>
        <v/>
      </c>
      <c r="V12" s="156">
        <f>V6*(Assumptions!B28+Assumptions!B29*1)</f>
        <v/>
      </c>
      <c r="W12" s="156">
        <f>W6*(Assumptions!B28+Assumptions!B29*1)</f>
        <v/>
      </c>
      <c r="X12" s="156">
        <f>X6*(Assumptions!B28+Assumptions!B29*1)</f>
        <v/>
      </c>
      <c r="Y12" s="156">
        <f>Y6*(Assumptions!B28+Assumptions!B29*1)</f>
        <v/>
      </c>
      <c r="Z12" s="156">
        <f>Z6*(Assumptions!B28+Assumptions!B29*1)</f>
        <v/>
      </c>
      <c r="AA12" s="156">
        <f>AA6*(Assumptions!B28+Assumptions!B29*2)</f>
        <v/>
      </c>
      <c r="AB12" s="156">
        <f>AB6*(Assumptions!B28+Assumptions!B29*2)</f>
        <v/>
      </c>
      <c r="AC12" s="156">
        <f>AC6*(Assumptions!B28+Assumptions!B29*2)</f>
        <v/>
      </c>
      <c r="AD12" s="156">
        <f>AD6*(Assumptions!B28+Assumptions!B29*2)</f>
        <v/>
      </c>
      <c r="AE12" s="156">
        <f>AE6*(Assumptions!B28+Assumptions!B29*2)</f>
        <v/>
      </c>
      <c r="AF12" s="156">
        <f>AF6*(Assumptions!B28+Assumptions!B29*2)</f>
        <v/>
      </c>
      <c r="AG12" s="156">
        <f>AG6*(Assumptions!B28+Assumptions!B29*2)</f>
        <v/>
      </c>
      <c r="AH12" s="156">
        <f>AH6*(Assumptions!B28+Assumptions!B29*2)</f>
        <v/>
      </c>
      <c r="AI12" s="156">
        <f>AI6*(Assumptions!B28+Assumptions!B29*2)</f>
        <v/>
      </c>
      <c r="AJ12" s="156">
        <f>AJ6*(Assumptions!B28+Assumptions!B29*2)</f>
        <v/>
      </c>
      <c r="AK12" s="156">
        <f>AK6*(Assumptions!B28+Assumptions!B29*2)</f>
        <v/>
      </c>
      <c r="AL12" s="156">
        <f>AL6*(Assumptions!B28+Assumptions!B29*2)</f>
        <v/>
      </c>
      <c r="AM12" s="156">
        <f>AM6*(Assumptions!B28+Assumptions!B29*3)</f>
        <v/>
      </c>
      <c r="AN12" s="156">
        <f>AN6*(Assumptions!B28+Assumptions!B29*3)</f>
        <v/>
      </c>
      <c r="AO12" s="156">
        <f>AO6*(Assumptions!B28+Assumptions!B29*3)</f>
        <v/>
      </c>
      <c r="AP12" s="156">
        <f>AP6*(Assumptions!B28+Assumptions!B29*3)</f>
        <v/>
      </c>
      <c r="AQ12" s="156">
        <f>AQ6*(Assumptions!B28+Assumptions!B29*3)</f>
        <v/>
      </c>
      <c r="AR12" s="156">
        <f>AR6*(Assumptions!B28+Assumptions!B29*3)</f>
        <v/>
      </c>
      <c r="AS12" s="156">
        <f>AS6*(Assumptions!B28+Assumptions!B29*3)</f>
        <v/>
      </c>
      <c r="AT12" s="156">
        <f>AT6*(Assumptions!B28+Assumptions!B29*3)</f>
        <v/>
      </c>
      <c r="AU12" s="156">
        <f>AU6*(Assumptions!B28+Assumptions!B29*3)</f>
        <v/>
      </c>
      <c r="AV12" s="156">
        <f>AV6*(Assumptions!B28+Assumptions!B29*3)</f>
        <v/>
      </c>
      <c r="AW12" s="156">
        <f>AW6*(Assumptions!B28+Assumptions!B29*3)</f>
        <v/>
      </c>
      <c r="AX12" s="156">
        <f>AX6*(Assumptions!B28+Assumptions!B29*3)</f>
        <v/>
      </c>
      <c r="AY12" s="156">
        <f>AY6*(Assumptions!B28+Assumptions!B29*4)</f>
        <v/>
      </c>
      <c r="AZ12" s="156">
        <f>AZ6*(Assumptions!B28+Assumptions!B29*4)</f>
        <v/>
      </c>
      <c r="BA12" s="156">
        <f>BA6*(Assumptions!B28+Assumptions!B29*4)</f>
        <v/>
      </c>
      <c r="BB12" s="156">
        <f>BB6*(Assumptions!B28+Assumptions!B29*4)</f>
        <v/>
      </c>
      <c r="BC12" s="156">
        <f>BC6*(Assumptions!B28+Assumptions!B29*4)</f>
        <v/>
      </c>
      <c r="BD12" s="156">
        <f>BD6*(Assumptions!B28+Assumptions!B29*4)</f>
        <v/>
      </c>
      <c r="BE12" s="156">
        <f>BE6*(Assumptions!B28+Assumptions!B29*4)</f>
        <v/>
      </c>
      <c r="BF12" s="156">
        <f>BF6*(Assumptions!B28+Assumptions!B29*4)</f>
        <v/>
      </c>
      <c r="BG12" s="156">
        <f>BG6*(Assumptions!B28+Assumptions!B29*4)</f>
        <v/>
      </c>
      <c r="BH12" s="156">
        <f>BH6*(Assumptions!B28+Assumptions!B29*4)</f>
        <v/>
      </c>
      <c r="BI12" s="156">
        <f>BI6*(Assumptions!B28+Assumptions!B29*4)</f>
        <v/>
      </c>
      <c r="BJ12" s="156">
        <f>BJ6*(Assumptions!B28+Assumptions!B29*4)</f>
        <v/>
      </c>
      <c r="BL12" s="157">
        <f>C12+D12+E12+F12+G12+H12+I12+J12+K12+L12+M12+N12</f>
        <v/>
      </c>
      <c r="BM12" s="157">
        <f>O12+P12+Q12+R12+S12+T12+U12+V12+W12+X12+Y12+Z12</f>
        <v/>
      </c>
      <c r="BN12" s="157">
        <f>AA12+AB12+AC12+AD12+AE12+AF12+AG12+AH12+AI12+AJ12+AK12+AL12</f>
        <v/>
      </c>
      <c r="BO12" s="157">
        <f>AM12+AN12+AO12+AP12+AQ12+AR12+AS12+AT12+AU12+AV12+AW12+AX12</f>
        <v/>
      </c>
      <c r="BP12" s="157">
        <f>AY12+AZ12+BA12+BB12+BC12+BD12+BE12+BF12+BG12+BH12+BI12+BJ12</f>
        <v/>
      </c>
    </row>
    <row r="13" ht="15" customHeight="1" s="104">
      <c r="A13" s="215" t="inlineStr">
        <is>
          <t xml:space="preserve">    % of Revenue</t>
        </is>
      </c>
      <c r="C13" s="216">
        <f>IF(C6=0,0,C12/C6)</f>
        <v/>
      </c>
      <c r="D13" s="216">
        <f>IF(D6=0,0,D12/D6)</f>
        <v/>
      </c>
      <c r="E13" s="216">
        <f>IF(E6=0,0,E12/E6)</f>
        <v/>
      </c>
      <c r="F13" s="216">
        <f>IF(F6=0,0,F12/F6)</f>
        <v/>
      </c>
      <c r="G13" s="216">
        <f>IF(G6=0,0,G12/G6)</f>
        <v/>
      </c>
      <c r="H13" s="216">
        <f>IF(H6=0,0,H12/H6)</f>
        <v/>
      </c>
      <c r="I13" s="216">
        <f>IF(I6=0,0,I12/I6)</f>
        <v/>
      </c>
      <c r="J13" s="216">
        <f>IF(J6=0,0,J12/J6)</f>
        <v/>
      </c>
      <c r="K13" s="216">
        <f>IF(K6=0,0,K12/K6)</f>
        <v/>
      </c>
      <c r="L13" s="216">
        <f>IF(L6=0,0,L12/L6)</f>
        <v/>
      </c>
      <c r="M13" s="216">
        <f>IF(M6=0,0,M12/M6)</f>
        <v/>
      </c>
      <c r="N13" s="216">
        <f>IF(N6=0,0,N12/N6)</f>
        <v/>
      </c>
      <c r="O13" s="216">
        <f>IF(O6=0,0,O12/O6)</f>
        <v/>
      </c>
      <c r="P13" s="216">
        <f>IF(P6=0,0,P12/P6)</f>
        <v/>
      </c>
      <c r="Q13" s="216">
        <f>IF(Q6=0,0,Q12/Q6)</f>
        <v/>
      </c>
      <c r="R13" s="216">
        <f>IF(R6=0,0,R12/R6)</f>
        <v/>
      </c>
      <c r="S13" s="216">
        <f>IF(S6=0,0,S12/S6)</f>
        <v/>
      </c>
      <c r="T13" s="216">
        <f>IF(T6=0,0,T12/T6)</f>
        <v/>
      </c>
      <c r="U13" s="216">
        <f>IF(U6=0,0,U12/U6)</f>
        <v/>
      </c>
      <c r="V13" s="216">
        <f>IF(V6=0,0,V12/V6)</f>
        <v/>
      </c>
      <c r="W13" s="216">
        <f>IF(W6=0,0,W12/W6)</f>
        <v/>
      </c>
      <c r="X13" s="216">
        <f>IF(X6=0,0,X12/X6)</f>
        <v/>
      </c>
      <c r="Y13" s="216">
        <f>IF(Y6=0,0,Y12/Y6)</f>
        <v/>
      </c>
      <c r="Z13" s="216">
        <f>IF(Z6=0,0,Z12/Z6)</f>
        <v/>
      </c>
      <c r="AA13" s="216">
        <f>IF(AA6=0,0,AA12/AA6)</f>
        <v/>
      </c>
      <c r="AB13" s="216">
        <f>IF(AB6=0,0,AB12/AB6)</f>
        <v/>
      </c>
      <c r="AC13" s="216">
        <f>IF(AC6=0,0,AC12/AC6)</f>
        <v/>
      </c>
      <c r="AD13" s="216">
        <f>IF(AD6=0,0,AD12/AD6)</f>
        <v/>
      </c>
      <c r="AE13" s="216">
        <f>IF(AE6=0,0,AE12/AE6)</f>
        <v/>
      </c>
      <c r="AF13" s="216">
        <f>IF(AF6=0,0,AF12/AF6)</f>
        <v/>
      </c>
      <c r="AG13" s="216">
        <f>IF(AG6=0,0,AG12/AG6)</f>
        <v/>
      </c>
      <c r="AH13" s="216">
        <f>IF(AH6=0,0,AH12/AH6)</f>
        <v/>
      </c>
      <c r="AI13" s="216">
        <f>IF(AI6=0,0,AI12/AI6)</f>
        <v/>
      </c>
      <c r="AJ13" s="216">
        <f>IF(AJ6=0,0,AJ12/AJ6)</f>
        <v/>
      </c>
      <c r="AK13" s="216">
        <f>IF(AK6=0,0,AK12/AK6)</f>
        <v/>
      </c>
      <c r="AL13" s="216">
        <f>IF(AL6=0,0,AL12/AL6)</f>
        <v/>
      </c>
      <c r="AM13" s="216">
        <f>IF(AM6=0,0,AM12/AM6)</f>
        <v/>
      </c>
      <c r="AN13" s="216">
        <f>IF(AN6=0,0,AN12/AN6)</f>
        <v/>
      </c>
      <c r="AO13" s="216">
        <f>IF(AO6=0,0,AO12/AO6)</f>
        <v/>
      </c>
      <c r="AP13" s="216">
        <f>IF(AP6=0,0,AP12/AP6)</f>
        <v/>
      </c>
      <c r="AQ13" s="216">
        <f>IF(AQ6=0,0,AQ12/AQ6)</f>
        <v/>
      </c>
      <c r="AR13" s="216">
        <f>IF(AR6=0,0,AR12/AR6)</f>
        <v/>
      </c>
      <c r="AS13" s="216">
        <f>IF(AS6=0,0,AS12/AS6)</f>
        <v/>
      </c>
      <c r="AT13" s="216">
        <f>IF(AT6=0,0,AT12/AT6)</f>
        <v/>
      </c>
      <c r="AU13" s="216">
        <f>IF(AU6=0,0,AU12/AU6)</f>
        <v/>
      </c>
      <c r="AV13" s="216">
        <f>IF(AV6=0,0,AV12/AV6)</f>
        <v/>
      </c>
      <c r="AW13" s="216">
        <f>IF(AW6=0,0,AW12/AW6)</f>
        <v/>
      </c>
      <c r="AX13" s="216">
        <f>IF(AX6=0,0,AX12/AX6)</f>
        <v/>
      </c>
      <c r="AY13" s="216">
        <f>IF(AY6=0,0,AY12/AY6)</f>
        <v/>
      </c>
      <c r="AZ13" s="216">
        <f>IF(AZ6=0,0,AZ12/AZ6)</f>
        <v/>
      </c>
      <c r="BA13" s="216">
        <f>IF(BA6=0,0,BA12/BA6)</f>
        <v/>
      </c>
      <c r="BB13" s="216">
        <f>IF(BB6=0,0,BB12/BB6)</f>
        <v/>
      </c>
      <c r="BC13" s="216">
        <f>IF(BC6=0,0,BC12/BC6)</f>
        <v/>
      </c>
      <c r="BD13" s="216">
        <f>IF(BD6=0,0,BD12/BD6)</f>
        <v/>
      </c>
      <c r="BE13" s="216">
        <f>IF(BE6=0,0,BE12/BE6)</f>
        <v/>
      </c>
      <c r="BF13" s="216">
        <f>IF(BF6=0,0,BF12/BF6)</f>
        <v/>
      </c>
      <c r="BG13" s="216">
        <f>IF(BG6=0,0,BG12/BG6)</f>
        <v/>
      </c>
      <c r="BH13" s="216">
        <f>IF(BH6=0,0,BH12/BH6)</f>
        <v/>
      </c>
      <c r="BI13" s="216">
        <f>IF(BI6=0,0,BI12/BI6)</f>
        <v/>
      </c>
      <c r="BJ13" s="216">
        <f>IF(BJ6=0,0,BJ12/BJ6)</f>
        <v/>
      </c>
      <c r="BL13" s="217">
        <f>IF((C6+D6+E6+F6+G6+H6+I6+J6+K6+L6+M6+N6)=0,0,(C12+D12+E12+F12+G12+H12+I12+J12+K12+L12+M12+N12)/(C6+D6+E6+F6+G6+H6+I6+J6+K6+L6+M6+N6))</f>
        <v/>
      </c>
      <c r="BM13" s="217">
        <f>IF((O6+P6+Q6+R6+S6+T6+U6+V6+W6+X6+Y6+Z6)=0,0,(O12+P12+Q12+R12+S12+T12+U12+V12+W12+X12+Y12+Z12)/(O6+P6+Q6+R6+S6+T6+U6+V6+W6+X6+Y6+Z6))</f>
        <v/>
      </c>
      <c r="BN13" s="217">
        <f>IF((AA6+AB6+AC6+AD6+AE6+AF6+AG6+AH6+AI6+AJ6+AK6+AL6)=0,0,(AA12+AB12+AC12+AD12+AE12+AF12+AG12+AH12+AI12+AJ12+AK12+AL12)/(AA6+AB6+AC6+AD6+AE6+AF6+AG6+AH6+AI6+AJ6+AK6+AL6))</f>
        <v/>
      </c>
      <c r="BO13" s="217">
        <f>IF((AM6+AN6+AO6+AP6+AQ6+AR6+AS6+AT6+AU6+AV6+AW6+AX6)=0,0,(AM12+AN12+AO12+AP12+AQ12+AR12+AS12+AT12+AU12+AV12+AW12+AX12)/(AM6+AN6+AO6+AP6+AQ6+AR6+AS6+AT6+AU6+AV6+AW6+AX6))</f>
        <v/>
      </c>
      <c r="BP13" s="217">
        <f>IF((AY6+AZ6+BA6+BB6+BC6+BD6+BE6+BF6+BG6+BH6+BI6+BJ6)=0,0,(AY12+AZ12+BA12+BB12+BC12+BD12+BE12+BF12+BG12+BH12+BI12+BJ12)/(AY6+AZ6+BA6+BB6+BC6+BD6+BE6+BF6+BG6+BH6+BI6+BJ6))</f>
        <v/>
      </c>
    </row>
    <row r="14" ht="15" customHeight="1" s="104">
      <c r="A14" s="107" t="inlineStr">
        <is>
          <t>Technology &amp; Software</t>
        </is>
      </c>
      <c r="C14" s="156">
        <f>C6*(Assumptions!B30+Assumptions!B31*0)</f>
        <v/>
      </c>
      <c r="D14" s="156">
        <f>D6*(Assumptions!B30+Assumptions!B31*0)</f>
        <v/>
      </c>
      <c r="E14" s="156">
        <f>E6*(Assumptions!B30+Assumptions!B31*0)</f>
        <v/>
      </c>
      <c r="F14" s="156">
        <f>F6*(Assumptions!B30+Assumptions!B31*0)</f>
        <v/>
      </c>
      <c r="G14" s="156">
        <f>G6*(Assumptions!B30+Assumptions!B31*0)</f>
        <v/>
      </c>
      <c r="H14" s="156">
        <f>H6*(Assumptions!B30+Assumptions!B31*0)</f>
        <v/>
      </c>
      <c r="I14" s="156">
        <f>I6*(Assumptions!B30+Assumptions!B31*0)</f>
        <v/>
      </c>
      <c r="J14" s="156">
        <f>J6*(Assumptions!B30+Assumptions!B31*0)</f>
        <v/>
      </c>
      <c r="K14" s="156">
        <f>K6*(Assumptions!B30+Assumptions!B31*0)</f>
        <v/>
      </c>
      <c r="L14" s="156">
        <f>L6*(Assumptions!B30+Assumptions!B31*0)</f>
        <v/>
      </c>
      <c r="M14" s="156">
        <f>M6*(Assumptions!B30+Assumptions!B31*0)</f>
        <v/>
      </c>
      <c r="N14" s="156">
        <f>N6*(Assumptions!B30+Assumptions!B31*0)</f>
        <v/>
      </c>
      <c r="O14" s="156">
        <f>O6*(Assumptions!B30+Assumptions!B31*1)</f>
        <v/>
      </c>
      <c r="P14" s="156">
        <f>P6*(Assumptions!B30+Assumptions!B31*1)</f>
        <v/>
      </c>
      <c r="Q14" s="156">
        <f>Q6*(Assumptions!B30+Assumptions!B31*1)</f>
        <v/>
      </c>
      <c r="R14" s="156">
        <f>R6*(Assumptions!B30+Assumptions!B31*1)</f>
        <v/>
      </c>
      <c r="S14" s="156">
        <f>S6*(Assumptions!B30+Assumptions!B31*1)</f>
        <v/>
      </c>
      <c r="T14" s="156">
        <f>T6*(Assumptions!B30+Assumptions!B31*1)</f>
        <v/>
      </c>
      <c r="U14" s="156">
        <f>U6*(Assumptions!B30+Assumptions!B31*1)</f>
        <v/>
      </c>
      <c r="V14" s="156">
        <f>V6*(Assumptions!B30+Assumptions!B31*1)</f>
        <v/>
      </c>
      <c r="W14" s="156">
        <f>W6*(Assumptions!B30+Assumptions!B31*1)</f>
        <v/>
      </c>
      <c r="X14" s="156">
        <f>X6*(Assumptions!B30+Assumptions!B31*1)</f>
        <v/>
      </c>
      <c r="Y14" s="156">
        <f>Y6*(Assumptions!B30+Assumptions!B31*1)</f>
        <v/>
      </c>
      <c r="Z14" s="156">
        <f>Z6*(Assumptions!B30+Assumptions!B31*1)</f>
        <v/>
      </c>
      <c r="AA14" s="156">
        <f>AA6*(Assumptions!B30+Assumptions!B31*2)</f>
        <v/>
      </c>
      <c r="AB14" s="156">
        <f>AB6*(Assumptions!B30+Assumptions!B31*2)</f>
        <v/>
      </c>
      <c r="AC14" s="156">
        <f>AC6*(Assumptions!B30+Assumptions!B31*2)</f>
        <v/>
      </c>
      <c r="AD14" s="156">
        <f>AD6*(Assumptions!B30+Assumptions!B31*2)</f>
        <v/>
      </c>
      <c r="AE14" s="156">
        <f>AE6*(Assumptions!B30+Assumptions!B31*2)</f>
        <v/>
      </c>
      <c r="AF14" s="156">
        <f>AF6*(Assumptions!B30+Assumptions!B31*2)</f>
        <v/>
      </c>
      <c r="AG14" s="156">
        <f>AG6*(Assumptions!B30+Assumptions!B31*2)</f>
        <v/>
      </c>
      <c r="AH14" s="156">
        <f>AH6*(Assumptions!B30+Assumptions!B31*2)</f>
        <v/>
      </c>
      <c r="AI14" s="156">
        <f>AI6*(Assumptions!B30+Assumptions!B31*2)</f>
        <v/>
      </c>
      <c r="AJ14" s="156">
        <f>AJ6*(Assumptions!B30+Assumptions!B31*2)</f>
        <v/>
      </c>
      <c r="AK14" s="156">
        <f>AK6*(Assumptions!B30+Assumptions!B31*2)</f>
        <v/>
      </c>
      <c r="AL14" s="156">
        <f>AL6*(Assumptions!B30+Assumptions!B31*2)</f>
        <v/>
      </c>
      <c r="AM14" s="156">
        <f>AM6*(Assumptions!B30+Assumptions!B31*3)</f>
        <v/>
      </c>
      <c r="AN14" s="156">
        <f>AN6*(Assumptions!B30+Assumptions!B31*3)</f>
        <v/>
      </c>
      <c r="AO14" s="156">
        <f>AO6*(Assumptions!B30+Assumptions!B31*3)</f>
        <v/>
      </c>
      <c r="AP14" s="156">
        <f>AP6*(Assumptions!B30+Assumptions!B31*3)</f>
        <v/>
      </c>
      <c r="AQ14" s="156">
        <f>AQ6*(Assumptions!B30+Assumptions!B31*3)</f>
        <v/>
      </c>
      <c r="AR14" s="156">
        <f>AR6*(Assumptions!B30+Assumptions!B31*3)</f>
        <v/>
      </c>
      <c r="AS14" s="156">
        <f>AS6*(Assumptions!B30+Assumptions!B31*3)</f>
        <v/>
      </c>
      <c r="AT14" s="156">
        <f>AT6*(Assumptions!B30+Assumptions!B31*3)</f>
        <v/>
      </c>
      <c r="AU14" s="156">
        <f>AU6*(Assumptions!B30+Assumptions!B31*3)</f>
        <v/>
      </c>
      <c r="AV14" s="156">
        <f>AV6*(Assumptions!B30+Assumptions!B31*3)</f>
        <v/>
      </c>
      <c r="AW14" s="156">
        <f>AW6*(Assumptions!B30+Assumptions!B31*3)</f>
        <v/>
      </c>
      <c r="AX14" s="156">
        <f>AX6*(Assumptions!B30+Assumptions!B31*3)</f>
        <v/>
      </c>
      <c r="AY14" s="156">
        <f>AY6*(Assumptions!B30+Assumptions!B31*4)</f>
        <v/>
      </c>
      <c r="AZ14" s="156">
        <f>AZ6*(Assumptions!B30+Assumptions!B31*4)</f>
        <v/>
      </c>
      <c r="BA14" s="156">
        <f>BA6*(Assumptions!B30+Assumptions!B31*4)</f>
        <v/>
      </c>
      <c r="BB14" s="156">
        <f>BB6*(Assumptions!B30+Assumptions!B31*4)</f>
        <v/>
      </c>
      <c r="BC14" s="156">
        <f>BC6*(Assumptions!B30+Assumptions!B31*4)</f>
        <v/>
      </c>
      <c r="BD14" s="156">
        <f>BD6*(Assumptions!B30+Assumptions!B31*4)</f>
        <v/>
      </c>
      <c r="BE14" s="156">
        <f>BE6*(Assumptions!B30+Assumptions!B31*4)</f>
        <v/>
      </c>
      <c r="BF14" s="156">
        <f>BF6*(Assumptions!B30+Assumptions!B31*4)</f>
        <v/>
      </c>
      <c r="BG14" s="156">
        <f>BG6*(Assumptions!B30+Assumptions!B31*4)</f>
        <v/>
      </c>
      <c r="BH14" s="156">
        <f>BH6*(Assumptions!B30+Assumptions!B31*4)</f>
        <v/>
      </c>
      <c r="BI14" s="156">
        <f>BI6*(Assumptions!B30+Assumptions!B31*4)</f>
        <v/>
      </c>
      <c r="BJ14" s="156">
        <f>BJ6*(Assumptions!B30+Assumptions!B31*4)</f>
        <v/>
      </c>
      <c r="BL14" s="157">
        <f>C14+D14+E14+F14+G14+H14+I14+J14+K14+L14+M14+N14</f>
        <v/>
      </c>
      <c r="BM14" s="157">
        <f>O14+P14+Q14+R14+S14+T14+U14+V14+W14+X14+Y14+Z14</f>
        <v/>
      </c>
      <c r="BN14" s="157">
        <f>AA14+AB14+AC14+AD14+AE14+AF14+AG14+AH14+AI14+AJ14+AK14+AL14</f>
        <v/>
      </c>
      <c r="BO14" s="157">
        <f>AM14+AN14+AO14+AP14+AQ14+AR14+AS14+AT14+AU14+AV14+AW14+AX14</f>
        <v/>
      </c>
      <c r="BP14" s="157">
        <f>AY14+AZ14+BA14+BB14+BC14+BD14+BE14+BF14+BG14+BH14+BI14+BJ14</f>
        <v/>
      </c>
    </row>
    <row r="15" ht="15" customHeight="1" s="104">
      <c r="A15" s="215" t="inlineStr">
        <is>
          <t xml:space="preserve">    % of Revenue</t>
        </is>
      </c>
      <c r="C15" s="216">
        <f>IF(C6=0,0,C14/C6)</f>
        <v/>
      </c>
      <c r="D15" s="216">
        <f>IF(D6=0,0,D14/D6)</f>
        <v/>
      </c>
      <c r="E15" s="216">
        <f>IF(E6=0,0,E14/E6)</f>
        <v/>
      </c>
      <c r="F15" s="216">
        <f>IF(F6=0,0,F14/F6)</f>
        <v/>
      </c>
      <c r="G15" s="216">
        <f>IF(G6=0,0,G14/G6)</f>
        <v/>
      </c>
      <c r="H15" s="216">
        <f>IF(H6=0,0,H14/H6)</f>
        <v/>
      </c>
      <c r="I15" s="216">
        <f>IF(I6=0,0,I14/I6)</f>
        <v/>
      </c>
      <c r="J15" s="216">
        <f>IF(J6=0,0,J14/J6)</f>
        <v/>
      </c>
      <c r="K15" s="216">
        <f>IF(K6=0,0,K14/K6)</f>
        <v/>
      </c>
      <c r="L15" s="216">
        <f>IF(L6=0,0,L14/L6)</f>
        <v/>
      </c>
      <c r="M15" s="216">
        <f>IF(M6=0,0,M14/M6)</f>
        <v/>
      </c>
      <c r="N15" s="216">
        <f>IF(N6=0,0,N14/N6)</f>
        <v/>
      </c>
      <c r="O15" s="216">
        <f>IF(O6=0,0,O14/O6)</f>
        <v/>
      </c>
      <c r="P15" s="216">
        <f>IF(P6=0,0,P14/P6)</f>
        <v/>
      </c>
      <c r="Q15" s="216">
        <f>IF(Q6=0,0,Q14/Q6)</f>
        <v/>
      </c>
      <c r="R15" s="216">
        <f>IF(R6=0,0,R14/R6)</f>
        <v/>
      </c>
      <c r="S15" s="216">
        <f>IF(S6=0,0,S14/S6)</f>
        <v/>
      </c>
      <c r="T15" s="216">
        <f>IF(T6=0,0,T14/T6)</f>
        <v/>
      </c>
      <c r="U15" s="216">
        <f>IF(U6=0,0,U14/U6)</f>
        <v/>
      </c>
      <c r="V15" s="216">
        <f>IF(V6=0,0,V14/V6)</f>
        <v/>
      </c>
      <c r="W15" s="216">
        <f>IF(W6=0,0,W14/W6)</f>
        <v/>
      </c>
      <c r="X15" s="216">
        <f>IF(X6=0,0,X14/X6)</f>
        <v/>
      </c>
      <c r="Y15" s="216">
        <f>IF(Y6=0,0,Y14/Y6)</f>
        <v/>
      </c>
      <c r="Z15" s="216">
        <f>IF(Z6=0,0,Z14/Z6)</f>
        <v/>
      </c>
      <c r="AA15" s="216">
        <f>IF(AA6=0,0,AA14/AA6)</f>
        <v/>
      </c>
      <c r="AB15" s="216">
        <f>IF(AB6=0,0,AB14/AB6)</f>
        <v/>
      </c>
      <c r="AC15" s="216">
        <f>IF(AC6=0,0,AC14/AC6)</f>
        <v/>
      </c>
      <c r="AD15" s="216">
        <f>IF(AD6=0,0,AD14/AD6)</f>
        <v/>
      </c>
      <c r="AE15" s="216">
        <f>IF(AE6=0,0,AE14/AE6)</f>
        <v/>
      </c>
      <c r="AF15" s="216">
        <f>IF(AF6=0,0,AF14/AF6)</f>
        <v/>
      </c>
      <c r="AG15" s="216">
        <f>IF(AG6=0,0,AG14/AG6)</f>
        <v/>
      </c>
      <c r="AH15" s="216">
        <f>IF(AH6=0,0,AH14/AH6)</f>
        <v/>
      </c>
      <c r="AI15" s="216">
        <f>IF(AI6=0,0,AI14/AI6)</f>
        <v/>
      </c>
      <c r="AJ15" s="216">
        <f>IF(AJ6=0,0,AJ14/AJ6)</f>
        <v/>
      </c>
      <c r="AK15" s="216">
        <f>IF(AK6=0,0,AK14/AK6)</f>
        <v/>
      </c>
      <c r="AL15" s="216">
        <f>IF(AL6=0,0,AL14/AL6)</f>
        <v/>
      </c>
      <c r="AM15" s="216">
        <f>IF(AM6=0,0,AM14/AM6)</f>
        <v/>
      </c>
      <c r="AN15" s="216">
        <f>IF(AN6=0,0,AN14/AN6)</f>
        <v/>
      </c>
      <c r="AO15" s="216">
        <f>IF(AO6=0,0,AO14/AO6)</f>
        <v/>
      </c>
      <c r="AP15" s="216">
        <f>IF(AP6=0,0,AP14/AP6)</f>
        <v/>
      </c>
      <c r="AQ15" s="216">
        <f>IF(AQ6=0,0,AQ14/AQ6)</f>
        <v/>
      </c>
      <c r="AR15" s="216">
        <f>IF(AR6=0,0,AR14/AR6)</f>
        <v/>
      </c>
      <c r="AS15" s="216">
        <f>IF(AS6=0,0,AS14/AS6)</f>
        <v/>
      </c>
      <c r="AT15" s="216">
        <f>IF(AT6=0,0,AT14/AT6)</f>
        <v/>
      </c>
      <c r="AU15" s="216">
        <f>IF(AU6=0,0,AU14/AU6)</f>
        <v/>
      </c>
      <c r="AV15" s="216">
        <f>IF(AV6=0,0,AV14/AV6)</f>
        <v/>
      </c>
      <c r="AW15" s="216">
        <f>IF(AW6=0,0,AW14/AW6)</f>
        <v/>
      </c>
      <c r="AX15" s="216">
        <f>IF(AX6=0,0,AX14/AX6)</f>
        <v/>
      </c>
      <c r="AY15" s="216">
        <f>IF(AY6=0,0,AY14/AY6)</f>
        <v/>
      </c>
      <c r="AZ15" s="216">
        <f>IF(AZ6=0,0,AZ14/AZ6)</f>
        <v/>
      </c>
      <c r="BA15" s="216">
        <f>IF(BA6=0,0,BA14/BA6)</f>
        <v/>
      </c>
      <c r="BB15" s="216">
        <f>IF(BB6=0,0,BB14/BB6)</f>
        <v/>
      </c>
      <c r="BC15" s="216">
        <f>IF(BC6=0,0,BC14/BC6)</f>
        <v/>
      </c>
      <c r="BD15" s="216">
        <f>IF(BD6=0,0,BD14/BD6)</f>
        <v/>
      </c>
      <c r="BE15" s="216">
        <f>IF(BE6=0,0,BE14/BE6)</f>
        <v/>
      </c>
      <c r="BF15" s="216">
        <f>IF(BF6=0,0,BF14/BF6)</f>
        <v/>
      </c>
      <c r="BG15" s="216">
        <f>IF(BG6=0,0,BG14/BG6)</f>
        <v/>
      </c>
      <c r="BH15" s="216">
        <f>IF(BH6=0,0,BH14/BH6)</f>
        <v/>
      </c>
      <c r="BI15" s="216">
        <f>IF(BI6=0,0,BI14/BI6)</f>
        <v/>
      </c>
      <c r="BJ15" s="216">
        <f>IF(BJ6=0,0,BJ14/BJ6)</f>
        <v/>
      </c>
      <c r="BL15" s="217">
        <f>IF((C6+D6+E6+F6+G6+H6+I6+J6+K6+L6+M6+N6)=0,0,(C14+D14+E14+F14+G14+H14+I14+J14+K14+L14+M14+N14)/(C6+D6+E6+F6+G6+H6+I6+J6+K6+L6+M6+N6))</f>
        <v/>
      </c>
      <c r="BM15" s="217">
        <f>IF((O6+P6+Q6+R6+S6+T6+U6+V6+W6+X6+Y6+Z6)=0,0,(O14+P14+Q14+R14+S14+T14+U14+V14+W14+X14+Y14+Z14)/(O6+P6+Q6+R6+S6+T6+U6+V6+W6+X6+Y6+Z6))</f>
        <v/>
      </c>
      <c r="BN15" s="217">
        <f>IF((AA6+AB6+AC6+AD6+AE6+AF6+AG6+AH6+AI6+AJ6+AK6+AL6)=0,0,(AA14+AB14+AC14+AD14+AE14+AF14+AG14+AH14+AI14+AJ14+AK14+AL14)/(AA6+AB6+AC6+AD6+AE6+AF6+AG6+AH6+AI6+AJ6+AK6+AL6))</f>
        <v/>
      </c>
      <c r="BO15" s="217">
        <f>IF((AM6+AN6+AO6+AP6+AQ6+AR6+AS6+AT6+AU6+AV6+AW6+AX6)=0,0,(AM14+AN14+AO14+AP14+AQ14+AR14+AS14+AT14+AU14+AV14+AW14+AX14)/(AM6+AN6+AO6+AP6+AQ6+AR6+AS6+AT6+AU6+AV6+AW6+AX6))</f>
        <v/>
      </c>
      <c r="BP15" s="217">
        <f>IF((AY6+AZ6+BA6+BB6+BC6+BD6+BE6+BF6+BG6+BH6+BI6+BJ6)=0,0,(AY14+AZ14+BA14+BB14+BC14+BD14+BE14+BF14+BG14+BH14+BI14+BJ14)/(AY6+AZ6+BA6+BB6+BC6+BD6+BE6+BF6+BG6+BH6+BI6+BJ6))</f>
        <v/>
      </c>
    </row>
    <row r="16" ht="15" customHeight="1" s="104">
      <c r="A16" s="107" t="inlineStr">
        <is>
          <t>Insurance</t>
        </is>
      </c>
      <c r="C16" s="156">
        <f>C6*(Assumptions!B32+Assumptions!B33*0)</f>
        <v/>
      </c>
      <c r="D16" s="156">
        <f>D6*(Assumptions!B32+Assumptions!B33*0)</f>
        <v/>
      </c>
      <c r="E16" s="156">
        <f>E6*(Assumptions!B32+Assumptions!B33*0)</f>
        <v/>
      </c>
      <c r="F16" s="156">
        <f>F6*(Assumptions!B32+Assumptions!B33*0)</f>
        <v/>
      </c>
      <c r="G16" s="156">
        <f>G6*(Assumptions!B32+Assumptions!B33*0)</f>
        <v/>
      </c>
      <c r="H16" s="156">
        <f>H6*(Assumptions!B32+Assumptions!B33*0)</f>
        <v/>
      </c>
      <c r="I16" s="156">
        <f>I6*(Assumptions!B32+Assumptions!B33*0)</f>
        <v/>
      </c>
      <c r="J16" s="156">
        <f>J6*(Assumptions!B32+Assumptions!B33*0)</f>
        <v/>
      </c>
      <c r="K16" s="156">
        <f>K6*(Assumptions!B32+Assumptions!B33*0)</f>
        <v/>
      </c>
      <c r="L16" s="156">
        <f>L6*(Assumptions!B32+Assumptions!B33*0)</f>
        <v/>
      </c>
      <c r="M16" s="156">
        <f>M6*(Assumptions!B32+Assumptions!B33*0)</f>
        <v/>
      </c>
      <c r="N16" s="156">
        <f>N6*(Assumptions!B32+Assumptions!B33*0)</f>
        <v/>
      </c>
      <c r="O16" s="156">
        <f>O6*(Assumptions!B32+Assumptions!B33*1)</f>
        <v/>
      </c>
      <c r="P16" s="156">
        <f>P6*(Assumptions!B32+Assumptions!B33*1)</f>
        <v/>
      </c>
      <c r="Q16" s="156">
        <f>Q6*(Assumptions!B32+Assumptions!B33*1)</f>
        <v/>
      </c>
      <c r="R16" s="156">
        <f>R6*(Assumptions!B32+Assumptions!B33*1)</f>
        <v/>
      </c>
      <c r="S16" s="156">
        <f>S6*(Assumptions!B32+Assumptions!B33*1)</f>
        <v/>
      </c>
      <c r="T16" s="156">
        <f>T6*(Assumptions!B32+Assumptions!B33*1)</f>
        <v/>
      </c>
      <c r="U16" s="156">
        <f>U6*(Assumptions!B32+Assumptions!B33*1)</f>
        <v/>
      </c>
      <c r="V16" s="156">
        <f>V6*(Assumptions!B32+Assumptions!B33*1)</f>
        <v/>
      </c>
      <c r="W16" s="156">
        <f>W6*(Assumptions!B32+Assumptions!B33*1)</f>
        <v/>
      </c>
      <c r="X16" s="156">
        <f>X6*(Assumptions!B32+Assumptions!B33*1)</f>
        <v/>
      </c>
      <c r="Y16" s="156">
        <f>Y6*(Assumptions!B32+Assumptions!B33*1)</f>
        <v/>
      </c>
      <c r="Z16" s="156">
        <f>Z6*(Assumptions!B32+Assumptions!B33*1)</f>
        <v/>
      </c>
      <c r="AA16" s="156">
        <f>AA6*(Assumptions!B32+Assumptions!B33*2)</f>
        <v/>
      </c>
      <c r="AB16" s="156">
        <f>AB6*(Assumptions!B32+Assumptions!B33*2)</f>
        <v/>
      </c>
      <c r="AC16" s="156">
        <f>AC6*(Assumptions!B32+Assumptions!B33*2)</f>
        <v/>
      </c>
      <c r="AD16" s="156">
        <f>AD6*(Assumptions!B32+Assumptions!B33*2)</f>
        <v/>
      </c>
      <c r="AE16" s="156">
        <f>AE6*(Assumptions!B32+Assumptions!B33*2)</f>
        <v/>
      </c>
      <c r="AF16" s="156">
        <f>AF6*(Assumptions!B32+Assumptions!B33*2)</f>
        <v/>
      </c>
      <c r="AG16" s="156">
        <f>AG6*(Assumptions!B32+Assumptions!B33*2)</f>
        <v/>
      </c>
      <c r="AH16" s="156">
        <f>AH6*(Assumptions!B32+Assumptions!B33*2)</f>
        <v/>
      </c>
      <c r="AI16" s="156">
        <f>AI6*(Assumptions!B32+Assumptions!B33*2)</f>
        <v/>
      </c>
      <c r="AJ16" s="156">
        <f>AJ6*(Assumptions!B32+Assumptions!B33*2)</f>
        <v/>
      </c>
      <c r="AK16" s="156">
        <f>AK6*(Assumptions!B32+Assumptions!B33*2)</f>
        <v/>
      </c>
      <c r="AL16" s="156">
        <f>AL6*(Assumptions!B32+Assumptions!B33*2)</f>
        <v/>
      </c>
      <c r="AM16" s="156">
        <f>AM6*(Assumptions!B32+Assumptions!B33*3)</f>
        <v/>
      </c>
      <c r="AN16" s="156">
        <f>AN6*(Assumptions!B32+Assumptions!B33*3)</f>
        <v/>
      </c>
      <c r="AO16" s="156">
        <f>AO6*(Assumptions!B32+Assumptions!B33*3)</f>
        <v/>
      </c>
      <c r="AP16" s="156">
        <f>AP6*(Assumptions!B32+Assumptions!B33*3)</f>
        <v/>
      </c>
      <c r="AQ16" s="156">
        <f>AQ6*(Assumptions!B32+Assumptions!B33*3)</f>
        <v/>
      </c>
      <c r="AR16" s="156">
        <f>AR6*(Assumptions!B32+Assumptions!B33*3)</f>
        <v/>
      </c>
      <c r="AS16" s="156">
        <f>AS6*(Assumptions!B32+Assumptions!B33*3)</f>
        <v/>
      </c>
      <c r="AT16" s="156">
        <f>AT6*(Assumptions!B32+Assumptions!B33*3)</f>
        <v/>
      </c>
      <c r="AU16" s="156">
        <f>AU6*(Assumptions!B32+Assumptions!B33*3)</f>
        <v/>
      </c>
      <c r="AV16" s="156">
        <f>AV6*(Assumptions!B32+Assumptions!B33*3)</f>
        <v/>
      </c>
      <c r="AW16" s="156">
        <f>AW6*(Assumptions!B32+Assumptions!B33*3)</f>
        <v/>
      </c>
      <c r="AX16" s="156">
        <f>AX6*(Assumptions!B32+Assumptions!B33*3)</f>
        <v/>
      </c>
      <c r="AY16" s="156">
        <f>AY6*(Assumptions!B32+Assumptions!B33*4)</f>
        <v/>
      </c>
      <c r="AZ16" s="156">
        <f>AZ6*(Assumptions!B32+Assumptions!B33*4)</f>
        <v/>
      </c>
      <c r="BA16" s="156">
        <f>BA6*(Assumptions!B32+Assumptions!B33*4)</f>
        <v/>
      </c>
      <c r="BB16" s="156">
        <f>BB6*(Assumptions!B32+Assumptions!B33*4)</f>
        <v/>
      </c>
      <c r="BC16" s="156">
        <f>BC6*(Assumptions!B32+Assumptions!B33*4)</f>
        <v/>
      </c>
      <c r="BD16" s="156">
        <f>BD6*(Assumptions!B32+Assumptions!B33*4)</f>
        <v/>
      </c>
      <c r="BE16" s="156">
        <f>BE6*(Assumptions!B32+Assumptions!B33*4)</f>
        <v/>
      </c>
      <c r="BF16" s="156">
        <f>BF6*(Assumptions!B32+Assumptions!B33*4)</f>
        <v/>
      </c>
      <c r="BG16" s="156">
        <f>BG6*(Assumptions!B32+Assumptions!B33*4)</f>
        <v/>
      </c>
      <c r="BH16" s="156">
        <f>BH6*(Assumptions!B32+Assumptions!B33*4)</f>
        <v/>
      </c>
      <c r="BI16" s="156">
        <f>BI6*(Assumptions!B32+Assumptions!B33*4)</f>
        <v/>
      </c>
      <c r="BJ16" s="156">
        <f>BJ6*(Assumptions!B32+Assumptions!B33*4)</f>
        <v/>
      </c>
      <c r="BL16" s="157">
        <f>C16+D16+E16+F16+G16+H16+I16+J16+K16+L16+M16+N16</f>
        <v/>
      </c>
      <c r="BM16" s="157">
        <f>O16+P16+Q16+R16+S16+T16+U16+V16+W16+X16+Y16+Z16</f>
        <v/>
      </c>
      <c r="BN16" s="157">
        <f>AA16+AB16+AC16+AD16+AE16+AF16+AG16+AH16+AI16+AJ16+AK16+AL16</f>
        <v/>
      </c>
      <c r="BO16" s="157">
        <f>AM16+AN16+AO16+AP16+AQ16+AR16+AS16+AT16+AU16+AV16+AW16+AX16</f>
        <v/>
      </c>
      <c r="BP16" s="157">
        <f>AY16+AZ16+BA16+BB16+BC16+BD16+BE16+BF16+BG16+BH16+BI16+BJ16</f>
        <v/>
      </c>
    </row>
    <row r="17" ht="15" customHeight="1" s="104">
      <c r="A17" s="215" t="inlineStr">
        <is>
          <t xml:space="preserve">    % of Revenue</t>
        </is>
      </c>
      <c r="C17" s="216">
        <f>IF(C6=0,0,C16/C6)</f>
        <v/>
      </c>
      <c r="D17" s="216">
        <f>IF(D6=0,0,D16/D6)</f>
        <v/>
      </c>
      <c r="E17" s="216">
        <f>IF(E6=0,0,E16/E6)</f>
        <v/>
      </c>
      <c r="F17" s="216">
        <f>IF(F6=0,0,F16/F6)</f>
        <v/>
      </c>
      <c r="G17" s="216">
        <f>IF(G6=0,0,G16/G6)</f>
        <v/>
      </c>
      <c r="H17" s="216">
        <f>IF(H6=0,0,H16/H6)</f>
        <v/>
      </c>
      <c r="I17" s="216">
        <f>IF(I6=0,0,I16/I6)</f>
        <v/>
      </c>
      <c r="J17" s="216">
        <f>IF(J6=0,0,J16/J6)</f>
        <v/>
      </c>
      <c r="K17" s="216">
        <f>IF(K6=0,0,K16/K6)</f>
        <v/>
      </c>
      <c r="L17" s="216">
        <f>IF(L6=0,0,L16/L6)</f>
        <v/>
      </c>
      <c r="M17" s="216">
        <f>IF(M6=0,0,M16/M6)</f>
        <v/>
      </c>
      <c r="N17" s="216">
        <f>IF(N6=0,0,N16/N6)</f>
        <v/>
      </c>
      <c r="O17" s="216">
        <f>IF(O6=0,0,O16/O6)</f>
        <v/>
      </c>
      <c r="P17" s="216">
        <f>IF(P6=0,0,P16/P6)</f>
        <v/>
      </c>
      <c r="Q17" s="216">
        <f>IF(Q6=0,0,Q16/Q6)</f>
        <v/>
      </c>
      <c r="R17" s="216">
        <f>IF(R6=0,0,R16/R6)</f>
        <v/>
      </c>
      <c r="S17" s="216">
        <f>IF(S6=0,0,S16/S6)</f>
        <v/>
      </c>
      <c r="T17" s="216">
        <f>IF(T6=0,0,T16/T6)</f>
        <v/>
      </c>
      <c r="U17" s="216">
        <f>IF(U6=0,0,U16/U6)</f>
        <v/>
      </c>
      <c r="V17" s="216">
        <f>IF(V6=0,0,V16/V6)</f>
        <v/>
      </c>
      <c r="W17" s="216">
        <f>IF(W6=0,0,W16/W6)</f>
        <v/>
      </c>
      <c r="X17" s="216">
        <f>IF(X6=0,0,X16/X6)</f>
        <v/>
      </c>
      <c r="Y17" s="216">
        <f>IF(Y6=0,0,Y16/Y6)</f>
        <v/>
      </c>
      <c r="Z17" s="216">
        <f>IF(Z6=0,0,Z16/Z6)</f>
        <v/>
      </c>
      <c r="AA17" s="216">
        <f>IF(AA6=0,0,AA16/AA6)</f>
        <v/>
      </c>
      <c r="AB17" s="216">
        <f>IF(AB6=0,0,AB16/AB6)</f>
        <v/>
      </c>
      <c r="AC17" s="216">
        <f>IF(AC6=0,0,AC16/AC6)</f>
        <v/>
      </c>
      <c r="AD17" s="216">
        <f>IF(AD6=0,0,AD16/AD6)</f>
        <v/>
      </c>
      <c r="AE17" s="216">
        <f>IF(AE6=0,0,AE16/AE6)</f>
        <v/>
      </c>
      <c r="AF17" s="216">
        <f>IF(AF6=0,0,AF16/AF6)</f>
        <v/>
      </c>
      <c r="AG17" s="216">
        <f>IF(AG6=0,0,AG16/AG6)</f>
        <v/>
      </c>
      <c r="AH17" s="216">
        <f>IF(AH6=0,0,AH16/AH6)</f>
        <v/>
      </c>
      <c r="AI17" s="216">
        <f>IF(AI6=0,0,AI16/AI6)</f>
        <v/>
      </c>
      <c r="AJ17" s="216">
        <f>IF(AJ6=0,0,AJ16/AJ6)</f>
        <v/>
      </c>
      <c r="AK17" s="216">
        <f>IF(AK6=0,0,AK16/AK6)</f>
        <v/>
      </c>
      <c r="AL17" s="216">
        <f>IF(AL6=0,0,AL16/AL6)</f>
        <v/>
      </c>
      <c r="AM17" s="216">
        <f>IF(AM6=0,0,AM16/AM6)</f>
        <v/>
      </c>
      <c r="AN17" s="216">
        <f>IF(AN6=0,0,AN16/AN6)</f>
        <v/>
      </c>
      <c r="AO17" s="216">
        <f>IF(AO6=0,0,AO16/AO6)</f>
        <v/>
      </c>
      <c r="AP17" s="216">
        <f>IF(AP6=0,0,AP16/AP6)</f>
        <v/>
      </c>
      <c r="AQ17" s="216">
        <f>IF(AQ6=0,0,AQ16/AQ6)</f>
        <v/>
      </c>
      <c r="AR17" s="216">
        <f>IF(AR6=0,0,AR16/AR6)</f>
        <v/>
      </c>
      <c r="AS17" s="216">
        <f>IF(AS6=0,0,AS16/AS6)</f>
        <v/>
      </c>
      <c r="AT17" s="216">
        <f>IF(AT6=0,0,AT16/AT6)</f>
        <v/>
      </c>
      <c r="AU17" s="216">
        <f>IF(AU6=0,0,AU16/AU6)</f>
        <v/>
      </c>
      <c r="AV17" s="216">
        <f>IF(AV6=0,0,AV16/AV6)</f>
        <v/>
      </c>
      <c r="AW17" s="216">
        <f>IF(AW6=0,0,AW16/AW6)</f>
        <v/>
      </c>
      <c r="AX17" s="216">
        <f>IF(AX6=0,0,AX16/AX6)</f>
        <v/>
      </c>
      <c r="AY17" s="216">
        <f>IF(AY6=0,0,AY16/AY6)</f>
        <v/>
      </c>
      <c r="AZ17" s="216">
        <f>IF(AZ6=0,0,AZ16/AZ6)</f>
        <v/>
      </c>
      <c r="BA17" s="216">
        <f>IF(BA6=0,0,BA16/BA6)</f>
        <v/>
      </c>
      <c r="BB17" s="216">
        <f>IF(BB6=0,0,BB16/BB6)</f>
        <v/>
      </c>
      <c r="BC17" s="216">
        <f>IF(BC6=0,0,BC16/BC6)</f>
        <v/>
      </c>
      <c r="BD17" s="216">
        <f>IF(BD6=0,0,BD16/BD6)</f>
        <v/>
      </c>
      <c r="BE17" s="216">
        <f>IF(BE6=0,0,BE16/BE6)</f>
        <v/>
      </c>
      <c r="BF17" s="216">
        <f>IF(BF6=0,0,BF16/BF6)</f>
        <v/>
      </c>
      <c r="BG17" s="216">
        <f>IF(BG6=0,0,BG16/BG6)</f>
        <v/>
      </c>
      <c r="BH17" s="216">
        <f>IF(BH6=0,0,BH16/BH6)</f>
        <v/>
      </c>
      <c r="BI17" s="216">
        <f>IF(BI6=0,0,BI16/BI6)</f>
        <v/>
      </c>
      <c r="BJ17" s="216">
        <f>IF(BJ6=0,0,BJ16/BJ6)</f>
        <v/>
      </c>
      <c r="BL17" s="217">
        <f>IF((C6+D6+E6+F6+G6+H6+I6+J6+K6+L6+M6+N6)=0,0,(C16+D16+E16+F16+G16+H16+I16+J16+K16+L16+M16+N16)/(C6+D6+E6+F6+G6+H6+I6+J6+K6+L6+M6+N6))</f>
        <v/>
      </c>
      <c r="BM17" s="217">
        <f>IF((O6+P6+Q6+R6+S6+T6+U6+V6+W6+X6+Y6+Z6)=0,0,(O16+P16+Q16+R16+S16+T16+U16+V16+W16+X16+Y16+Z16)/(O6+P6+Q6+R6+S6+T6+U6+V6+W6+X6+Y6+Z6))</f>
        <v/>
      </c>
      <c r="BN17" s="217">
        <f>IF((AA6+AB6+AC6+AD6+AE6+AF6+AG6+AH6+AI6+AJ6+AK6+AL6)=0,0,(AA16+AB16+AC16+AD16+AE16+AF16+AG16+AH16+AI16+AJ16+AK16+AL16)/(AA6+AB6+AC6+AD6+AE6+AF6+AG6+AH6+AI6+AJ6+AK6+AL6))</f>
        <v/>
      </c>
      <c r="BO17" s="217">
        <f>IF((AM6+AN6+AO6+AP6+AQ6+AR6+AS6+AT6+AU6+AV6+AW6+AX6)=0,0,(AM16+AN16+AO16+AP16+AQ16+AR16+AS16+AT16+AU16+AV16+AW16+AX16)/(AM6+AN6+AO6+AP6+AQ6+AR6+AS6+AT6+AU6+AV6+AW6+AX6))</f>
        <v/>
      </c>
      <c r="BP17" s="217">
        <f>IF((AY6+AZ6+BA6+BB6+BC6+BD6+BE6+BF6+BG6+BH6+BI6+BJ6)=0,0,(AY16+AZ16+BA16+BB16+BC16+BD16+BE16+BF16+BG16+BH16+BI16+BJ16)/(AY6+AZ6+BA6+BB6+BC6+BD6+BE6+BF6+BG6+BH6+BI6+BJ6))</f>
        <v/>
      </c>
    </row>
    <row r="18" ht="15" customHeight="1" s="104">
      <c r="A18" s="107" t="inlineStr">
        <is>
          <t>Other Operating Expenses</t>
        </is>
      </c>
      <c r="C18" s="156">
        <f>C6*(Assumptions!B34+Assumptions!B35*0)</f>
        <v/>
      </c>
      <c r="D18" s="156">
        <f>D6*(Assumptions!B34+Assumptions!B35*0)</f>
        <v/>
      </c>
      <c r="E18" s="156">
        <f>E6*(Assumptions!B34+Assumptions!B35*0)</f>
        <v/>
      </c>
      <c r="F18" s="156">
        <f>F6*(Assumptions!B34+Assumptions!B35*0)</f>
        <v/>
      </c>
      <c r="G18" s="156">
        <f>G6*(Assumptions!B34+Assumptions!B35*0)</f>
        <v/>
      </c>
      <c r="H18" s="156">
        <f>H6*(Assumptions!B34+Assumptions!B35*0)</f>
        <v/>
      </c>
      <c r="I18" s="156">
        <f>I6*(Assumptions!B34+Assumptions!B35*0)</f>
        <v/>
      </c>
      <c r="J18" s="156">
        <f>J6*(Assumptions!B34+Assumptions!B35*0)</f>
        <v/>
      </c>
      <c r="K18" s="156">
        <f>K6*(Assumptions!B34+Assumptions!B35*0)</f>
        <v/>
      </c>
      <c r="L18" s="156">
        <f>L6*(Assumptions!B34+Assumptions!B35*0)</f>
        <v/>
      </c>
      <c r="M18" s="156">
        <f>M6*(Assumptions!B34+Assumptions!B35*0)</f>
        <v/>
      </c>
      <c r="N18" s="156">
        <f>N6*(Assumptions!B34+Assumptions!B35*0)</f>
        <v/>
      </c>
      <c r="O18" s="156">
        <f>O6*(Assumptions!B34+Assumptions!B35*1)</f>
        <v/>
      </c>
      <c r="P18" s="156">
        <f>P6*(Assumptions!B34+Assumptions!B35*1)</f>
        <v/>
      </c>
      <c r="Q18" s="156">
        <f>Q6*(Assumptions!B34+Assumptions!B35*1)</f>
        <v/>
      </c>
      <c r="R18" s="156">
        <f>R6*(Assumptions!B34+Assumptions!B35*1)</f>
        <v/>
      </c>
      <c r="S18" s="156">
        <f>S6*(Assumptions!B34+Assumptions!B35*1)</f>
        <v/>
      </c>
      <c r="T18" s="156">
        <f>T6*(Assumptions!B34+Assumptions!B35*1)</f>
        <v/>
      </c>
      <c r="U18" s="156">
        <f>U6*(Assumptions!B34+Assumptions!B35*1)</f>
        <v/>
      </c>
      <c r="V18" s="156">
        <f>V6*(Assumptions!B34+Assumptions!B35*1)</f>
        <v/>
      </c>
      <c r="W18" s="156">
        <f>W6*(Assumptions!B34+Assumptions!B35*1)</f>
        <v/>
      </c>
      <c r="X18" s="156">
        <f>X6*(Assumptions!B34+Assumptions!B35*1)</f>
        <v/>
      </c>
      <c r="Y18" s="156">
        <f>Y6*(Assumptions!B34+Assumptions!B35*1)</f>
        <v/>
      </c>
      <c r="Z18" s="156">
        <f>Z6*(Assumptions!B34+Assumptions!B35*1)</f>
        <v/>
      </c>
      <c r="AA18" s="156">
        <f>AA6*(Assumptions!B34+Assumptions!B35*2)</f>
        <v/>
      </c>
      <c r="AB18" s="156">
        <f>AB6*(Assumptions!B34+Assumptions!B35*2)</f>
        <v/>
      </c>
      <c r="AC18" s="156">
        <f>AC6*(Assumptions!B34+Assumptions!B35*2)</f>
        <v/>
      </c>
      <c r="AD18" s="156">
        <f>AD6*(Assumptions!B34+Assumptions!B35*2)</f>
        <v/>
      </c>
      <c r="AE18" s="156">
        <f>AE6*(Assumptions!B34+Assumptions!B35*2)</f>
        <v/>
      </c>
      <c r="AF18" s="156">
        <f>AF6*(Assumptions!B34+Assumptions!B35*2)</f>
        <v/>
      </c>
      <c r="AG18" s="156">
        <f>AG6*(Assumptions!B34+Assumptions!B35*2)</f>
        <v/>
      </c>
      <c r="AH18" s="156">
        <f>AH6*(Assumptions!B34+Assumptions!B35*2)</f>
        <v/>
      </c>
      <c r="AI18" s="156">
        <f>AI6*(Assumptions!B34+Assumptions!B35*2)</f>
        <v/>
      </c>
      <c r="AJ18" s="156">
        <f>AJ6*(Assumptions!B34+Assumptions!B35*2)</f>
        <v/>
      </c>
      <c r="AK18" s="156">
        <f>AK6*(Assumptions!B34+Assumptions!B35*2)</f>
        <v/>
      </c>
      <c r="AL18" s="156">
        <f>AL6*(Assumptions!B34+Assumptions!B35*2)</f>
        <v/>
      </c>
      <c r="AM18" s="156">
        <f>AM6*(Assumptions!B34+Assumptions!B35*3)</f>
        <v/>
      </c>
      <c r="AN18" s="156">
        <f>AN6*(Assumptions!B34+Assumptions!B35*3)</f>
        <v/>
      </c>
      <c r="AO18" s="156">
        <f>AO6*(Assumptions!B34+Assumptions!B35*3)</f>
        <v/>
      </c>
      <c r="AP18" s="156">
        <f>AP6*(Assumptions!B34+Assumptions!B35*3)</f>
        <v/>
      </c>
      <c r="AQ18" s="156">
        <f>AQ6*(Assumptions!B34+Assumptions!B35*3)</f>
        <v/>
      </c>
      <c r="AR18" s="156">
        <f>AR6*(Assumptions!B34+Assumptions!B35*3)</f>
        <v/>
      </c>
      <c r="AS18" s="156">
        <f>AS6*(Assumptions!B34+Assumptions!B35*3)</f>
        <v/>
      </c>
      <c r="AT18" s="156">
        <f>AT6*(Assumptions!B34+Assumptions!B35*3)</f>
        <v/>
      </c>
      <c r="AU18" s="156">
        <f>AU6*(Assumptions!B34+Assumptions!B35*3)</f>
        <v/>
      </c>
      <c r="AV18" s="156">
        <f>AV6*(Assumptions!B34+Assumptions!B35*3)</f>
        <v/>
      </c>
      <c r="AW18" s="156">
        <f>AW6*(Assumptions!B34+Assumptions!B35*3)</f>
        <v/>
      </c>
      <c r="AX18" s="156">
        <f>AX6*(Assumptions!B34+Assumptions!B35*3)</f>
        <v/>
      </c>
      <c r="AY18" s="156">
        <f>AY6*(Assumptions!B34+Assumptions!B35*4)</f>
        <v/>
      </c>
      <c r="AZ18" s="156">
        <f>AZ6*(Assumptions!B34+Assumptions!B35*4)</f>
        <v/>
      </c>
      <c r="BA18" s="156">
        <f>BA6*(Assumptions!B34+Assumptions!B35*4)</f>
        <v/>
      </c>
      <c r="BB18" s="156">
        <f>BB6*(Assumptions!B34+Assumptions!B35*4)</f>
        <v/>
      </c>
      <c r="BC18" s="156">
        <f>BC6*(Assumptions!B34+Assumptions!B35*4)</f>
        <v/>
      </c>
      <c r="BD18" s="156">
        <f>BD6*(Assumptions!B34+Assumptions!B35*4)</f>
        <v/>
      </c>
      <c r="BE18" s="156">
        <f>BE6*(Assumptions!B34+Assumptions!B35*4)</f>
        <v/>
      </c>
      <c r="BF18" s="156">
        <f>BF6*(Assumptions!B34+Assumptions!B35*4)</f>
        <v/>
      </c>
      <c r="BG18" s="156">
        <f>BG6*(Assumptions!B34+Assumptions!B35*4)</f>
        <v/>
      </c>
      <c r="BH18" s="156">
        <f>BH6*(Assumptions!B34+Assumptions!B35*4)</f>
        <v/>
      </c>
      <c r="BI18" s="156">
        <f>BI6*(Assumptions!B34+Assumptions!B35*4)</f>
        <v/>
      </c>
      <c r="BJ18" s="156">
        <f>BJ6*(Assumptions!B34+Assumptions!B35*4)</f>
        <v/>
      </c>
      <c r="BL18" s="157">
        <f>C18+D18+E18+F18+G18+H18+I18+J18+K18+L18+M18+N18</f>
        <v/>
      </c>
      <c r="BM18" s="157">
        <f>O18+P18+Q18+R18+S18+T18+U18+V18+W18+X18+Y18+Z18</f>
        <v/>
      </c>
      <c r="BN18" s="157">
        <f>AA18+AB18+AC18+AD18+AE18+AF18+AG18+AH18+AI18+AJ18+AK18+AL18</f>
        <v/>
      </c>
      <c r="BO18" s="157">
        <f>AM18+AN18+AO18+AP18+AQ18+AR18+AS18+AT18+AU18+AV18+AW18+AX18</f>
        <v/>
      </c>
      <c r="BP18" s="157">
        <f>AY18+AZ18+BA18+BB18+BC18+BD18+BE18+BF18+BG18+BH18+BI18+BJ18</f>
        <v/>
      </c>
    </row>
    <row r="19" ht="15" customHeight="1" s="104">
      <c r="A19" s="215" t="inlineStr">
        <is>
          <t xml:space="preserve">    % of Revenue</t>
        </is>
      </c>
      <c r="C19" s="216">
        <f>IF(C6=0,0,C18/C6)</f>
        <v/>
      </c>
      <c r="D19" s="216">
        <f>IF(D6=0,0,D18/D6)</f>
        <v/>
      </c>
      <c r="E19" s="216">
        <f>IF(E6=0,0,E18/E6)</f>
        <v/>
      </c>
      <c r="F19" s="216">
        <f>IF(F6=0,0,F18/F6)</f>
        <v/>
      </c>
      <c r="G19" s="216">
        <f>IF(G6=0,0,G18/G6)</f>
        <v/>
      </c>
      <c r="H19" s="216">
        <f>IF(H6=0,0,H18/H6)</f>
        <v/>
      </c>
      <c r="I19" s="216">
        <f>IF(I6=0,0,I18/I6)</f>
        <v/>
      </c>
      <c r="J19" s="216">
        <f>IF(J6=0,0,J18/J6)</f>
        <v/>
      </c>
      <c r="K19" s="216">
        <f>IF(K6=0,0,K18/K6)</f>
        <v/>
      </c>
      <c r="L19" s="216">
        <f>IF(L6=0,0,L18/L6)</f>
        <v/>
      </c>
      <c r="M19" s="216">
        <f>IF(M6=0,0,M18/M6)</f>
        <v/>
      </c>
      <c r="N19" s="216">
        <f>IF(N6=0,0,N18/N6)</f>
        <v/>
      </c>
      <c r="O19" s="216">
        <f>IF(O6=0,0,O18/O6)</f>
        <v/>
      </c>
      <c r="P19" s="216">
        <f>IF(P6=0,0,P18/P6)</f>
        <v/>
      </c>
      <c r="Q19" s="216">
        <f>IF(Q6=0,0,Q18/Q6)</f>
        <v/>
      </c>
      <c r="R19" s="216">
        <f>IF(R6=0,0,R18/R6)</f>
        <v/>
      </c>
      <c r="S19" s="216">
        <f>IF(S6=0,0,S18/S6)</f>
        <v/>
      </c>
      <c r="T19" s="216">
        <f>IF(T6=0,0,T18/T6)</f>
        <v/>
      </c>
      <c r="U19" s="216">
        <f>IF(U6=0,0,U18/U6)</f>
        <v/>
      </c>
      <c r="V19" s="216">
        <f>IF(V6=0,0,V18/V6)</f>
        <v/>
      </c>
      <c r="W19" s="216">
        <f>IF(W6=0,0,W18/W6)</f>
        <v/>
      </c>
      <c r="X19" s="216">
        <f>IF(X6=0,0,X18/X6)</f>
        <v/>
      </c>
      <c r="Y19" s="216">
        <f>IF(Y6=0,0,Y18/Y6)</f>
        <v/>
      </c>
      <c r="Z19" s="216">
        <f>IF(Z6=0,0,Z18/Z6)</f>
        <v/>
      </c>
      <c r="AA19" s="216">
        <f>IF(AA6=0,0,AA18/AA6)</f>
        <v/>
      </c>
      <c r="AB19" s="216">
        <f>IF(AB6=0,0,AB18/AB6)</f>
        <v/>
      </c>
      <c r="AC19" s="216">
        <f>IF(AC6=0,0,AC18/AC6)</f>
        <v/>
      </c>
      <c r="AD19" s="216">
        <f>IF(AD6=0,0,AD18/AD6)</f>
        <v/>
      </c>
      <c r="AE19" s="216">
        <f>IF(AE6=0,0,AE18/AE6)</f>
        <v/>
      </c>
      <c r="AF19" s="216">
        <f>IF(AF6=0,0,AF18/AF6)</f>
        <v/>
      </c>
      <c r="AG19" s="216">
        <f>IF(AG6=0,0,AG18/AG6)</f>
        <v/>
      </c>
      <c r="AH19" s="216">
        <f>IF(AH6=0,0,AH18/AH6)</f>
        <v/>
      </c>
      <c r="AI19" s="216">
        <f>IF(AI6=0,0,AI18/AI6)</f>
        <v/>
      </c>
      <c r="AJ19" s="216">
        <f>IF(AJ6=0,0,AJ18/AJ6)</f>
        <v/>
      </c>
      <c r="AK19" s="216">
        <f>IF(AK6=0,0,AK18/AK6)</f>
        <v/>
      </c>
      <c r="AL19" s="216">
        <f>IF(AL6=0,0,AL18/AL6)</f>
        <v/>
      </c>
      <c r="AM19" s="216">
        <f>IF(AM6=0,0,AM18/AM6)</f>
        <v/>
      </c>
      <c r="AN19" s="216">
        <f>IF(AN6=0,0,AN18/AN6)</f>
        <v/>
      </c>
      <c r="AO19" s="216">
        <f>IF(AO6=0,0,AO18/AO6)</f>
        <v/>
      </c>
      <c r="AP19" s="216">
        <f>IF(AP6=0,0,AP18/AP6)</f>
        <v/>
      </c>
      <c r="AQ19" s="216">
        <f>IF(AQ6=0,0,AQ18/AQ6)</f>
        <v/>
      </c>
      <c r="AR19" s="216">
        <f>IF(AR6=0,0,AR18/AR6)</f>
        <v/>
      </c>
      <c r="AS19" s="216">
        <f>IF(AS6=0,0,AS18/AS6)</f>
        <v/>
      </c>
      <c r="AT19" s="216">
        <f>IF(AT6=0,0,AT18/AT6)</f>
        <v/>
      </c>
      <c r="AU19" s="216">
        <f>IF(AU6=0,0,AU18/AU6)</f>
        <v/>
      </c>
      <c r="AV19" s="216">
        <f>IF(AV6=0,0,AV18/AV6)</f>
        <v/>
      </c>
      <c r="AW19" s="216">
        <f>IF(AW6=0,0,AW18/AW6)</f>
        <v/>
      </c>
      <c r="AX19" s="216">
        <f>IF(AX6=0,0,AX18/AX6)</f>
        <v/>
      </c>
      <c r="AY19" s="216">
        <f>IF(AY6=0,0,AY18/AY6)</f>
        <v/>
      </c>
      <c r="AZ19" s="216">
        <f>IF(AZ6=0,0,AZ18/AZ6)</f>
        <v/>
      </c>
      <c r="BA19" s="216">
        <f>IF(BA6=0,0,BA18/BA6)</f>
        <v/>
      </c>
      <c r="BB19" s="216">
        <f>IF(BB6=0,0,BB18/BB6)</f>
        <v/>
      </c>
      <c r="BC19" s="216">
        <f>IF(BC6=0,0,BC18/BC6)</f>
        <v/>
      </c>
      <c r="BD19" s="216">
        <f>IF(BD6=0,0,BD18/BD6)</f>
        <v/>
      </c>
      <c r="BE19" s="216">
        <f>IF(BE6=0,0,BE18/BE6)</f>
        <v/>
      </c>
      <c r="BF19" s="216">
        <f>IF(BF6=0,0,BF18/BF6)</f>
        <v/>
      </c>
      <c r="BG19" s="216">
        <f>IF(BG6=0,0,BG18/BG6)</f>
        <v/>
      </c>
      <c r="BH19" s="216">
        <f>IF(BH6=0,0,BH18/BH6)</f>
        <v/>
      </c>
      <c r="BI19" s="216">
        <f>IF(BI6=0,0,BI18/BI6)</f>
        <v/>
      </c>
      <c r="BJ19" s="216">
        <f>IF(BJ6=0,0,BJ18/BJ6)</f>
        <v/>
      </c>
      <c r="BL19" s="217">
        <f>IF((C6+D6+E6+F6+G6+H6+I6+J6+K6+L6+M6+N6)=0,0,(C18+D18+E18+F18+G18+H18+I18+J18+K18+L18+M18+N18)/(C6+D6+E6+F6+G6+H6+I6+J6+K6+L6+M6+N6))</f>
        <v/>
      </c>
      <c r="BM19" s="217">
        <f>IF((O6+P6+Q6+R6+S6+T6+U6+V6+W6+X6+Y6+Z6)=0,0,(O18+P18+Q18+R18+S18+T18+U18+V18+W18+X18+Y18+Z18)/(O6+P6+Q6+R6+S6+T6+U6+V6+W6+X6+Y6+Z6))</f>
        <v/>
      </c>
      <c r="BN19" s="217">
        <f>IF((AA6+AB6+AC6+AD6+AE6+AF6+AG6+AH6+AI6+AJ6+AK6+AL6)=0,0,(AA18+AB18+AC18+AD18+AE18+AF18+AG18+AH18+AI18+AJ18+AK18+AL18)/(AA6+AB6+AC6+AD6+AE6+AF6+AG6+AH6+AI6+AJ6+AK6+AL6))</f>
        <v/>
      </c>
      <c r="BO19" s="217">
        <f>IF((AM6+AN6+AO6+AP6+AQ6+AR6+AS6+AT6+AU6+AV6+AW6+AX6)=0,0,(AM18+AN18+AO18+AP18+AQ18+AR18+AS18+AT18+AU18+AV18+AW18+AX18)/(AM6+AN6+AO6+AP6+AQ6+AR6+AS6+AT6+AU6+AV6+AW6+AX6))</f>
        <v/>
      </c>
      <c r="BP19" s="217">
        <f>IF((AY6+AZ6+BA6+BB6+BC6+BD6+BE6+BF6+BG6+BH6+BI6+BJ6)=0,0,(AY18+AZ18+BA18+BB18+BC18+BD18+BE18+BF18+BG18+BH18+BI18+BJ18)/(AY6+AZ6+BA6+BB6+BC6+BD6+BE6+BF6+BG6+BH6+BI6+BJ6))</f>
        <v/>
      </c>
    </row>
    <row r="20" ht="15" customHeight="1" s="104">
      <c r="A20" s="116" t="inlineStr">
        <is>
          <t>Total Operating Expenses</t>
        </is>
      </c>
      <c r="C20" s="151">
        <f>C8+C10+C12+C14+C16+C18</f>
        <v/>
      </c>
      <c r="D20" s="151">
        <f>D8+D10+D12+D14+D16+D18</f>
        <v/>
      </c>
      <c r="E20" s="151">
        <f>E8+E10+E12+E14+E16+E18</f>
        <v/>
      </c>
      <c r="F20" s="151">
        <f>F8+F10+F12+F14+F16+F18</f>
        <v/>
      </c>
      <c r="G20" s="151">
        <f>G8+G10+G12+G14+G16+G18</f>
        <v/>
      </c>
      <c r="H20" s="151">
        <f>H8+H10+H12+H14+H16+H18</f>
        <v/>
      </c>
      <c r="I20" s="151">
        <f>I8+I10+I12+I14+I16+I18</f>
        <v/>
      </c>
      <c r="J20" s="151">
        <f>J8+J10+J12+J14+J16+J18</f>
        <v/>
      </c>
      <c r="K20" s="151">
        <f>K8+K10+K12+K14+K16+K18</f>
        <v/>
      </c>
      <c r="L20" s="151">
        <f>L8+L10+L12+L14+L16+L18</f>
        <v/>
      </c>
      <c r="M20" s="151">
        <f>M8+M10+M12+M14+M16+M18</f>
        <v/>
      </c>
      <c r="N20" s="151">
        <f>N8+N10+N12+N14+N16+N18</f>
        <v/>
      </c>
      <c r="O20" s="151">
        <f>O8+O10+O12+O14+O16+O18</f>
        <v/>
      </c>
      <c r="P20" s="151">
        <f>P8+P10+P12+P14+P16+P18</f>
        <v/>
      </c>
      <c r="Q20" s="151">
        <f>Q8+Q10+Q12+Q14+Q16+Q18</f>
        <v/>
      </c>
      <c r="R20" s="151">
        <f>R8+R10+R12+R14+R16+R18</f>
        <v/>
      </c>
      <c r="S20" s="151">
        <f>S8+S10+S12+S14+S16+S18</f>
        <v/>
      </c>
      <c r="T20" s="151">
        <f>T8+T10+T12+T14+T16+T18</f>
        <v/>
      </c>
      <c r="U20" s="151">
        <f>U8+U10+U12+U14+U16+U18</f>
        <v/>
      </c>
      <c r="V20" s="151">
        <f>V8+V10+V12+V14+V16+V18</f>
        <v/>
      </c>
      <c r="W20" s="151">
        <f>W8+W10+W12+W14+W16+W18</f>
        <v/>
      </c>
      <c r="X20" s="151">
        <f>X8+X10+X12+X14+X16+X18</f>
        <v/>
      </c>
      <c r="Y20" s="151">
        <f>Y8+Y10+Y12+Y14+Y16+Y18</f>
        <v/>
      </c>
      <c r="Z20" s="151">
        <f>Z8+Z10+Z12+Z14+Z16+Z18</f>
        <v/>
      </c>
      <c r="AA20" s="151">
        <f>AA8+AA10+AA12+AA14+AA16+AA18</f>
        <v/>
      </c>
      <c r="AB20" s="151">
        <f>AB8+AB10+AB12+AB14+AB16+AB18</f>
        <v/>
      </c>
      <c r="AC20" s="151">
        <f>AC8+AC10+AC12+AC14+AC16+AC18</f>
        <v/>
      </c>
      <c r="AD20" s="151">
        <f>AD8+AD10+AD12+AD14+AD16+AD18</f>
        <v/>
      </c>
      <c r="AE20" s="151">
        <f>AE8+AE10+AE12+AE14+AE16+AE18</f>
        <v/>
      </c>
      <c r="AF20" s="151">
        <f>AF8+AF10+AF12+AF14+AF16+AF18</f>
        <v/>
      </c>
      <c r="AG20" s="151">
        <f>AG8+AG10+AG12+AG14+AG16+AG18</f>
        <v/>
      </c>
      <c r="AH20" s="151">
        <f>AH8+AH10+AH12+AH14+AH16+AH18</f>
        <v/>
      </c>
      <c r="AI20" s="151">
        <f>AI8+AI10+AI12+AI14+AI16+AI18</f>
        <v/>
      </c>
      <c r="AJ20" s="151">
        <f>AJ8+AJ10+AJ12+AJ14+AJ16+AJ18</f>
        <v/>
      </c>
      <c r="AK20" s="151">
        <f>AK8+AK10+AK12+AK14+AK16+AK18</f>
        <v/>
      </c>
      <c r="AL20" s="151">
        <f>AL8+AL10+AL12+AL14+AL16+AL18</f>
        <v/>
      </c>
      <c r="AM20" s="151">
        <f>AM8+AM10+AM12+AM14+AM16+AM18</f>
        <v/>
      </c>
      <c r="AN20" s="151">
        <f>AN8+AN10+AN12+AN14+AN16+AN18</f>
        <v/>
      </c>
      <c r="AO20" s="151">
        <f>AO8+AO10+AO12+AO14+AO16+AO18</f>
        <v/>
      </c>
      <c r="AP20" s="151">
        <f>AP8+AP10+AP12+AP14+AP16+AP18</f>
        <v/>
      </c>
      <c r="AQ20" s="151">
        <f>AQ8+AQ10+AQ12+AQ14+AQ16+AQ18</f>
        <v/>
      </c>
      <c r="AR20" s="151">
        <f>AR8+AR10+AR12+AR14+AR16+AR18</f>
        <v/>
      </c>
      <c r="AS20" s="151">
        <f>AS8+AS10+AS12+AS14+AS16+AS18</f>
        <v/>
      </c>
      <c r="AT20" s="151">
        <f>AT8+AT10+AT12+AT14+AT16+AT18</f>
        <v/>
      </c>
      <c r="AU20" s="151">
        <f>AU8+AU10+AU12+AU14+AU16+AU18</f>
        <v/>
      </c>
      <c r="AV20" s="151">
        <f>AV8+AV10+AV12+AV14+AV16+AV18</f>
        <v/>
      </c>
      <c r="AW20" s="151">
        <f>AW8+AW10+AW12+AW14+AW16+AW18</f>
        <v/>
      </c>
      <c r="AX20" s="151">
        <f>AX8+AX10+AX12+AX14+AX16+AX18</f>
        <v/>
      </c>
      <c r="AY20" s="151">
        <f>AY8+AY10+AY12+AY14+AY16+AY18</f>
        <v/>
      </c>
      <c r="AZ20" s="151">
        <f>AZ8+AZ10+AZ12+AZ14+AZ16+AZ18</f>
        <v/>
      </c>
      <c r="BA20" s="151">
        <f>BA8+BA10+BA12+BA14+BA16+BA18</f>
        <v/>
      </c>
      <c r="BB20" s="151">
        <f>BB8+BB10+BB12+BB14+BB16+BB18</f>
        <v/>
      </c>
      <c r="BC20" s="151">
        <f>BC8+BC10+BC12+BC14+BC16+BC18</f>
        <v/>
      </c>
      <c r="BD20" s="151">
        <f>BD8+BD10+BD12+BD14+BD16+BD18</f>
        <v/>
      </c>
      <c r="BE20" s="151">
        <f>BE8+BE10+BE12+BE14+BE16+BE18</f>
        <v/>
      </c>
      <c r="BF20" s="151">
        <f>BF8+BF10+BF12+BF14+BF16+BF18</f>
        <v/>
      </c>
      <c r="BG20" s="151">
        <f>BG8+BG10+BG12+BG14+BG16+BG18</f>
        <v/>
      </c>
      <c r="BH20" s="151">
        <f>BH8+BH10+BH12+BH14+BH16+BH18</f>
        <v/>
      </c>
      <c r="BI20" s="151">
        <f>BI8+BI10+BI12+BI14+BI16+BI18</f>
        <v/>
      </c>
      <c r="BJ20" s="151">
        <f>BJ8+BJ10+BJ12+BJ14+BJ16+BJ18</f>
        <v/>
      </c>
      <c r="BL20" s="152">
        <f>C20+D20+E20+F20+G20+H20+I20+J20+K20+L20+M20+N20</f>
        <v/>
      </c>
      <c r="BM20" s="152">
        <f>O20+P20+Q20+R20+S20+T20+U20+V20+W20+X20+Y20+Z20</f>
        <v/>
      </c>
      <c r="BN20" s="152">
        <f>AA20+AB20+AC20+AD20+AE20+AF20+AG20+AH20+AI20+AJ20+AK20+AL20</f>
        <v/>
      </c>
      <c r="BO20" s="152">
        <f>AM20+AN20+AO20+AP20+AQ20+AR20+AS20+AT20+AU20+AV20+AW20+AX20</f>
        <v/>
      </c>
      <c r="BP20" s="152">
        <f>AY20+AZ20+BA20+BB20+BC20+BD20+BE20+BF20+BG20+BH20+BI20+BJ20</f>
        <v/>
      </c>
    </row>
    <row r="21" ht="15" customHeight="1" s="104">
      <c r="A21" s="106" t="inlineStr">
        <is>
          <t>EBITDA</t>
        </is>
      </c>
    </row>
    <row r="22" ht="15" customHeight="1" s="104">
      <c r="A22" s="116" t="inlineStr">
        <is>
          <t>EBITDA</t>
        </is>
      </c>
      <c r="C22" s="151">
        <f>C6-C20</f>
        <v/>
      </c>
      <c r="D22" s="151">
        <f>D6-D20</f>
        <v/>
      </c>
      <c r="E22" s="151">
        <f>E6-E20</f>
        <v/>
      </c>
      <c r="F22" s="151">
        <f>F6-F20</f>
        <v/>
      </c>
      <c r="G22" s="151">
        <f>G6-G20</f>
        <v/>
      </c>
      <c r="H22" s="151">
        <f>H6-H20</f>
        <v/>
      </c>
      <c r="I22" s="151">
        <f>I6-I20</f>
        <v/>
      </c>
      <c r="J22" s="151">
        <f>J6-J20</f>
        <v/>
      </c>
      <c r="K22" s="151">
        <f>K6-K20</f>
        <v/>
      </c>
      <c r="L22" s="151">
        <f>L6-L20</f>
        <v/>
      </c>
      <c r="M22" s="151">
        <f>M6-M20</f>
        <v/>
      </c>
      <c r="N22" s="151">
        <f>N6-N20</f>
        <v/>
      </c>
      <c r="O22" s="151">
        <f>O6-O20</f>
        <v/>
      </c>
      <c r="P22" s="151">
        <f>P6-P20</f>
        <v/>
      </c>
      <c r="Q22" s="151">
        <f>Q6-Q20</f>
        <v/>
      </c>
      <c r="R22" s="151">
        <f>R6-R20</f>
        <v/>
      </c>
      <c r="S22" s="151">
        <f>S6-S20</f>
        <v/>
      </c>
      <c r="T22" s="151">
        <f>T6-T20</f>
        <v/>
      </c>
      <c r="U22" s="151">
        <f>U6-U20</f>
        <v/>
      </c>
      <c r="V22" s="151">
        <f>V6-V20</f>
        <v/>
      </c>
      <c r="W22" s="151">
        <f>W6-W20</f>
        <v/>
      </c>
      <c r="X22" s="151">
        <f>X6-X20</f>
        <v/>
      </c>
      <c r="Y22" s="151">
        <f>Y6-Y20</f>
        <v/>
      </c>
      <c r="Z22" s="151">
        <f>Z6-Z20</f>
        <v/>
      </c>
      <c r="AA22" s="151">
        <f>AA6-AA20</f>
        <v/>
      </c>
      <c r="AB22" s="151">
        <f>AB6-AB20</f>
        <v/>
      </c>
      <c r="AC22" s="151">
        <f>AC6-AC20</f>
        <v/>
      </c>
      <c r="AD22" s="151">
        <f>AD6-AD20</f>
        <v/>
      </c>
      <c r="AE22" s="151">
        <f>AE6-AE20</f>
        <v/>
      </c>
      <c r="AF22" s="151">
        <f>AF6-AF20</f>
        <v/>
      </c>
      <c r="AG22" s="151">
        <f>AG6-AG20</f>
        <v/>
      </c>
      <c r="AH22" s="151">
        <f>AH6-AH20</f>
        <v/>
      </c>
      <c r="AI22" s="151">
        <f>AI6-AI20</f>
        <v/>
      </c>
      <c r="AJ22" s="151">
        <f>AJ6-AJ20</f>
        <v/>
      </c>
      <c r="AK22" s="151">
        <f>AK6-AK20</f>
        <v/>
      </c>
      <c r="AL22" s="151">
        <f>AL6-AL20</f>
        <v/>
      </c>
      <c r="AM22" s="151">
        <f>AM6-AM20</f>
        <v/>
      </c>
      <c r="AN22" s="151">
        <f>AN6-AN20</f>
        <v/>
      </c>
      <c r="AO22" s="151">
        <f>AO6-AO20</f>
        <v/>
      </c>
      <c r="AP22" s="151">
        <f>AP6-AP20</f>
        <v/>
      </c>
      <c r="AQ22" s="151">
        <f>AQ6-AQ20</f>
        <v/>
      </c>
      <c r="AR22" s="151">
        <f>AR6-AR20</f>
        <v/>
      </c>
      <c r="AS22" s="151">
        <f>AS6-AS20</f>
        <v/>
      </c>
      <c r="AT22" s="151">
        <f>AT6-AT20</f>
        <v/>
      </c>
      <c r="AU22" s="151">
        <f>AU6-AU20</f>
        <v/>
      </c>
      <c r="AV22" s="151">
        <f>AV6-AV20</f>
        <v/>
      </c>
      <c r="AW22" s="151">
        <f>AW6-AW20</f>
        <v/>
      </c>
      <c r="AX22" s="151">
        <f>AX6-AX20</f>
        <v/>
      </c>
      <c r="AY22" s="151">
        <f>AY6-AY20</f>
        <v/>
      </c>
      <c r="AZ22" s="151">
        <f>AZ6-AZ20</f>
        <v/>
      </c>
      <c r="BA22" s="151">
        <f>BA6-BA20</f>
        <v/>
      </c>
      <c r="BB22" s="151">
        <f>BB6-BB20</f>
        <v/>
      </c>
      <c r="BC22" s="151">
        <f>BC6-BC20</f>
        <v/>
      </c>
      <c r="BD22" s="151">
        <f>BD6-BD20</f>
        <v/>
      </c>
      <c r="BE22" s="151">
        <f>BE6-BE20</f>
        <v/>
      </c>
      <c r="BF22" s="151">
        <f>BF6-BF20</f>
        <v/>
      </c>
      <c r="BG22" s="151">
        <f>BG6-BG20</f>
        <v/>
      </c>
      <c r="BH22" s="151">
        <f>BH6-BH20</f>
        <v/>
      </c>
      <c r="BI22" s="151">
        <f>BI6-BI20</f>
        <v/>
      </c>
      <c r="BJ22" s="151">
        <f>BJ6-BJ20</f>
        <v/>
      </c>
      <c r="BL22" s="152">
        <f>C22+D22+E22+F22+G22+H22+I22+J22+K22+L22+M22+N22</f>
        <v/>
      </c>
      <c r="BM22" s="152">
        <f>O22+P22+Q22+R22+S22+T22+U22+V22+W22+X22+Y22+Z22</f>
        <v/>
      </c>
      <c r="BN22" s="152">
        <f>AA22+AB22+AC22+AD22+AE22+AF22+AG22+AH22+AI22+AJ22+AK22+AL22</f>
        <v/>
      </c>
      <c r="BO22" s="152">
        <f>AM22+AN22+AO22+AP22+AQ22+AR22+AS22+AT22+AU22+AV22+AW22+AX22</f>
        <v/>
      </c>
      <c r="BP22" s="152">
        <f>AY22+AZ22+BA22+BB22+BC22+BD22+BE22+BF22+BG22+BH22+BI22+BJ22</f>
        <v/>
      </c>
    </row>
    <row r="23" ht="15" customHeight="1" s="104">
      <c r="A23" s="218" t="inlineStr">
        <is>
          <t xml:space="preserve">    EBITDA Margin %</t>
        </is>
      </c>
      <c r="C23" s="192">
        <f>IF(C6=0,0,C22/C6)</f>
        <v/>
      </c>
      <c r="D23" s="192">
        <f>IF(D6=0,0,D22/D6)</f>
        <v/>
      </c>
      <c r="E23" s="192">
        <f>IF(E6=0,0,E22/E6)</f>
        <v/>
      </c>
      <c r="F23" s="192">
        <f>IF(F6=0,0,F22/F6)</f>
        <v/>
      </c>
      <c r="G23" s="192">
        <f>IF(G6=0,0,G22/G6)</f>
        <v/>
      </c>
      <c r="H23" s="192">
        <f>IF(H6=0,0,H22/H6)</f>
        <v/>
      </c>
      <c r="I23" s="192">
        <f>IF(I6=0,0,I22/I6)</f>
        <v/>
      </c>
      <c r="J23" s="192">
        <f>IF(J6=0,0,J22/J6)</f>
        <v/>
      </c>
      <c r="K23" s="192">
        <f>IF(K6=0,0,K22/K6)</f>
        <v/>
      </c>
      <c r="L23" s="192">
        <f>IF(L6=0,0,L22/L6)</f>
        <v/>
      </c>
      <c r="M23" s="192">
        <f>IF(M6=0,0,M22/M6)</f>
        <v/>
      </c>
      <c r="N23" s="192">
        <f>IF(N6=0,0,N22/N6)</f>
        <v/>
      </c>
      <c r="O23" s="192">
        <f>IF(O6=0,0,O22/O6)</f>
        <v/>
      </c>
      <c r="P23" s="192">
        <f>IF(P6=0,0,P22/P6)</f>
        <v/>
      </c>
      <c r="Q23" s="192">
        <f>IF(Q6=0,0,Q22/Q6)</f>
        <v/>
      </c>
      <c r="R23" s="192">
        <f>IF(R6=0,0,R22/R6)</f>
        <v/>
      </c>
      <c r="S23" s="192">
        <f>IF(S6=0,0,S22/S6)</f>
        <v/>
      </c>
      <c r="T23" s="192">
        <f>IF(T6=0,0,T22/T6)</f>
        <v/>
      </c>
      <c r="U23" s="192">
        <f>IF(U6=0,0,U22/U6)</f>
        <v/>
      </c>
      <c r="V23" s="192">
        <f>IF(V6=0,0,V22/V6)</f>
        <v/>
      </c>
      <c r="W23" s="192">
        <f>IF(W6=0,0,W22/W6)</f>
        <v/>
      </c>
      <c r="X23" s="192">
        <f>IF(X6=0,0,X22/X6)</f>
        <v/>
      </c>
      <c r="Y23" s="192">
        <f>IF(Y6=0,0,Y22/Y6)</f>
        <v/>
      </c>
      <c r="Z23" s="192">
        <f>IF(Z6=0,0,Z22/Z6)</f>
        <v/>
      </c>
      <c r="AA23" s="192">
        <f>IF(AA6=0,0,AA22/AA6)</f>
        <v/>
      </c>
      <c r="AB23" s="192">
        <f>IF(AB6=0,0,AB22/AB6)</f>
        <v/>
      </c>
      <c r="AC23" s="192">
        <f>IF(AC6=0,0,AC22/AC6)</f>
        <v/>
      </c>
      <c r="AD23" s="192">
        <f>IF(AD6=0,0,AD22/AD6)</f>
        <v/>
      </c>
      <c r="AE23" s="192">
        <f>IF(AE6=0,0,AE22/AE6)</f>
        <v/>
      </c>
      <c r="AF23" s="192">
        <f>IF(AF6=0,0,AF22/AF6)</f>
        <v/>
      </c>
      <c r="AG23" s="192">
        <f>IF(AG6=0,0,AG22/AG6)</f>
        <v/>
      </c>
      <c r="AH23" s="192">
        <f>IF(AH6=0,0,AH22/AH6)</f>
        <v/>
      </c>
      <c r="AI23" s="192">
        <f>IF(AI6=0,0,AI22/AI6)</f>
        <v/>
      </c>
      <c r="AJ23" s="192">
        <f>IF(AJ6=0,0,AJ22/AJ6)</f>
        <v/>
      </c>
      <c r="AK23" s="192">
        <f>IF(AK6=0,0,AK22/AK6)</f>
        <v/>
      </c>
      <c r="AL23" s="192">
        <f>IF(AL6=0,0,AL22/AL6)</f>
        <v/>
      </c>
      <c r="AM23" s="192">
        <f>IF(AM6=0,0,AM22/AM6)</f>
        <v/>
      </c>
      <c r="AN23" s="192">
        <f>IF(AN6=0,0,AN22/AN6)</f>
        <v/>
      </c>
      <c r="AO23" s="192">
        <f>IF(AO6=0,0,AO22/AO6)</f>
        <v/>
      </c>
      <c r="AP23" s="192">
        <f>IF(AP6=0,0,AP22/AP6)</f>
        <v/>
      </c>
      <c r="AQ23" s="192">
        <f>IF(AQ6=0,0,AQ22/AQ6)</f>
        <v/>
      </c>
      <c r="AR23" s="192">
        <f>IF(AR6=0,0,AR22/AR6)</f>
        <v/>
      </c>
      <c r="AS23" s="192">
        <f>IF(AS6=0,0,AS22/AS6)</f>
        <v/>
      </c>
      <c r="AT23" s="192">
        <f>IF(AT6=0,0,AT22/AT6)</f>
        <v/>
      </c>
      <c r="AU23" s="192">
        <f>IF(AU6=0,0,AU22/AU6)</f>
        <v/>
      </c>
      <c r="AV23" s="192">
        <f>IF(AV6=0,0,AV22/AV6)</f>
        <v/>
      </c>
      <c r="AW23" s="192">
        <f>IF(AW6=0,0,AW22/AW6)</f>
        <v/>
      </c>
      <c r="AX23" s="192">
        <f>IF(AX6=0,0,AX22/AX6)</f>
        <v/>
      </c>
      <c r="AY23" s="192">
        <f>IF(AY6=0,0,AY22/AY6)</f>
        <v/>
      </c>
      <c r="AZ23" s="192">
        <f>IF(AZ6=0,0,AZ22/AZ6)</f>
        <v/>
      </c>
      <c r="BA23" s="192">
        <f>IF(BA6=0,0,BA22/BA6)</f>
        <v/>
      </c>
      <c r="BB23" s="192">
        <f>IF(BB6=0,0,BB22/BB6)</f>
        <v/>
      </c>
      <c r="BC23" s="192">
        <f>IF(BC6=0,0,BC22/BC6)</f>
        <v/>
      </c>
      <c r="BD23" s="192">
        <f>IF(BD6=0,0,BD22/BD6)</f>
        <v/>
      </c>
      <c r="BE23" s="192">
        <f>IF(BE6=0,0,BE22/BE6)</f>
        <v/>
      </c>
      <c r="BF23" s="192">
        <f>IF(BF6=0,0,BF22/BF6)</f>
        <v/>
      </c>
      <c r="BG23" s="192">
        <f>IF(BG6=0,0,BG22/BG6)</f>
        <v/>
      </c>
      <c r="BH23" s="192">
        <f>IF(BH6=0,0,BH22/BH6)</f>
        <v/>
      </c>
      <c r="BI23" s="192">
        <f>IF(BI6=0,0,BI22/BI6)</f>
        <v/>
      </c>
      <c r="BJ23" s="192">
        <f>IF(BJ6=0,0,BJ22/BJ6)</f>
        <v/>
      </c>
      <c r="BL23" s="219">
        <f>IF((C6+D6+E6+F6+G6+H6+I6+J6+K6+L6+M6+N6)=0,0,(C22+D22+E22+F22+G22+H22+I22+J22+K22+L22+M22+N22)/(C6+D6+E6+F6+G6+H6+I6+J6+K6+L6+M6+N6))</f>
        <v/>
      </c>
      <c r="BM23" s="219">
        <f>IF((O6+P6+Q6+R6+S6+T6+U6+V6+W6+X6+Y6+Z6)=0,0,(O22+P22+Q22+R22+S22+T22+U22+V22+W22+X22+Y22+Z22)/(O6+P6+Q6+R6+S6+T6+U6+V6+W6+X6+Y6+Z6))</f>
        <v/>
      </c>
      <c r="BN23" s="219">
        <f>IF((AA6+AB6+AC6+AD6+AE6+AF6+AG6+AH6+AI6+AJ6+AK6+AL6)=0,0,(AA22+AB22+AC22+AD22+AE22+AF22+AG22+AH22+AI22+AJ22+AK22+AL22)/(AA6+AB6+AC6+AD6+AE6+AF6+AG6+AH6+AI6+AJ6+AK6+AL6))</f>
        <v/>
      </c>
      <c r="BO23" s="219">
        <f>IF((AM6+AN6+AO6+AP6+AQ6+AR6+AS6+AT6+AU6+AV6+AW6+AX6)=0,0,(AM22+AN22+AO22+AP22+AQ22+AR22+AS22+AT22+AU22+AV22+AW22+AX22)/(AM6+AN6+AO6+AP6+AQ6+AR6+AS6+AT6+AU6+AV6+AW6+AX6))</f>
        <v/>
      </c>
      <c r="BP23" s="219">
        <f>IF((AY6+AZ6+BA6+BB6+BC6+BD6+BE6+BF6+BG6+BH6+BI6+BJ6)=0,0,(AY22+AZ22+BA22+BB22+BC22+BD22+BE22+BF22+BG22+BH22+BI22+BJ22)/(AY6+AZ6+BA6+BB6+BC6+BD6+BE6+BF6+BG6+BH6+BI6+BJ6))</f>
        <v/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9.xml><?xml version="1.0" encoding="utf-8"?>
<worksheet xmlns="http://schemas.openxmlformats.org/spreadsheetml/2006/main">
  <sheetPr filterMode="0">
    <tabColor rgb="FF5B9BD5"/>
    <outlinePr summaryBelow="1" summaryRight="1"/>
    <pageSetUpPr fitToPage="0"/>
  </sheetPr>
  <dimension ref="A1:BP2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baseColWidth="8" defaultColWidth="8.71484375" defaultRowHeight="15" zeroHeight="0" outlineLevelRow="0"/>
  <cols>
    <col width="38" customWidth="1" style="103" min="1" max="1"/>
    <col width="9" customWidth="1" style="103" min="3" max="62"/>
    <col width="11" customWidth="1" style="103" min="64" max="68"/>
  </cols>
  <sheetData>
    <row r="1" ht="19.5" customHeight="1" s="104">
      <c r="A1" s="105" t="inlineStr">
        <is>
          <t>Add-On 1 – Monthly P&amp;L ($mm)</t>
        </is>
      </c>
    </row>
    <row r="3" ht="15" customHeight="1" s="104">
      <c r="A3" s="116" t="inlineStr">
        <is>
          <t>($mm)</t>
        </is>
      </c>
      <c r="C3" s="149" t="inlineStr">
        <is>
          <t>Oct-26</t>
        </is>
      </c>
      <c r="D3" s="149" t="inlineStr">
        <is>
          <t>Nov-26</t>
        </is>
      </c>
      <c r="E3" s="149" t="inlineStr">
        <is>
          <t>Dec-26</t>
        </is>
      </c>
      <c r="F3" s="149" t="inlineStr">
        <is>
          <t>Jan-27</t>
        </is>
      </c>
      <c r="G3" s="149" t="inlineStr">
        <is>
          <t>Feb-27</t>
        </is>
      </c>
      <c r="H3" s="149" t="inlineStr">
        <is>
          <t>Mar-27</t>
        </is>
      </c>
      <c r="I3" s="149" t="inlineStr">
        <is>
          <t>Apr-27</t>
        </is>
      </c>
      <c r="J3" s="149" t="inlineStr">
        <is>
          <t>May-27</t>
        </is>
      </c>
      <c r="K3" s="149" t="inlineStr">
        <is>
          <t>Jun-27</t>
        </is>
      </c>
      <c r="L3" s="149" t="inlineStr">
        <is>
          <t>Jul-27</t>
        </is>
      </c>
      <c r="M3" s="149" t="inlineStr">
        <is>
          <t>Aug-27</t>
        </is>
      </c>
      <c r="N3" s="149" t="inlineStr">
        <is>
          <t>Sep-27</t>
        </is>
      </c>
      <c r="O3" s="149" t="inlineStr">
        <is>
          <t>Oct-27</t>
        </is>
      </c>
      <c r="P3" s="149" t="inlineStr">
        <is>
          <t>Nov-27</t>
        </is>
      </c>
      <c r="Q3" s="149" t="inlineStr">
        <is>
          <t>Dec-27</t>
        </is>
      </c>
      <c r="R3" s="149" t="inlineStr">
        <is>
          <t>Jan-28</t>
        </is>
      </c>
      <c r="S3" s="149" t="inlineStr">
        <is>
          <t>Feb-28</t>
        </is>
      </c>
      <c r="T3" s="149" t="inlineStr">
        <is>
          <t>Mar-28</t>
        </is>
      </c>
      <c r="U3" s="149" t="inlineStr">
        <is>
          <t>Apr-28</t>
        </is>
      </c>
      <c r="V3" s="149" t="inlineStr">
        <is>
          <t>May-28</t>
        </is>
      </c>
      <c r="W3" s="149" t="inlineStr">
        <is>
          <t>Jun-28</t>
        </is>
      </c>
      <c r="X3" s="149" t="inlineStr">
        <is>
          <t>Jul-28</t>
        </is>
      </c>
      <c r="Y3" s="149" t="inlineStr">
        <is>
          <t>Aug-28</t>
        </is>
      </c>
      <c r="Z3" s="149" t="inlineStr">
        <is>
          <t>Sep-28</t>
        </is>
      </c>
      <c r="AA3" s="149" t="inlineStr">
        <is>
          <t>Oct-28</t>
        </is>
      </c>
      <c r="AB3" s="149" t="inlineStr">
        <is>
          <t>Nov-28</t>
        </is>
      </c>
      <c r="AC3" s="149" t="inlineStr">
        <is>
          <t>Dec-28</t>
        </is>
      </c>
      <c r="AD3" s="149" t="inlineStr">
        <is>
          <t>Jan-29</t>
        </is>
      </c>
      <c r="AE3" s="149" t="inlineStr">
        <is>
          <t>Feb-29</t>
        </is>
      </c>
      <c r="AF3" s="149" t="inlineStr">
        <is>
          <t>Mar-29</t>
        </is>
      </c>
      <c r="AG3" s="149" t="inlineStr">
        <is>
          <t>Apr-29</t>
        </is>
      </c>
      <c r="AH3" s="149" t="inlineStr">
        <is>
          <t>May-29</t>
        </is>
      </c>
      <c r="AI3" s="149" t="inlineStr">
        <is>
          <t>Jun-29</t>
        </is>
      </c>
      <c r="AJ3" s="149" t="inlineStr">
        <is>
          <t>Jul-29</t>
        </is>
      </c>
      <c r="AK3" s="149" t="inlineStr">
        <is>
          <t>Aug-29</t>
        </is>
      </c>
      <c r="AL3" s="149" t="inlineStr">
        <is>
          <t>Sep-29</t>
        </is>
      </c>
      <c r="AM3" s="149" t="inlineStr">
        <is>
          <t>Oct-29</t>
        </is>
      </c>
      <c r="AN3" s="149" t="inlineStr">
        <is>
          <t>Nov-29</t>
        </is>
      </c>
      <c r="AO3" s="149" t="inlineStr">
        <is>
          <t>Dec-29</t>
        </is>
      </c>
      <c r="AP3" s="149" t="inlineStr">
        <is>
          <t>Jan-30</t>
        </is>
      </c>
      <c r="AQ3" s="149" t="inlineStr">
        <is>
          <t>Feb-30</t>
        </is>
      </c>
      <c r="AR3" s="149" t="inlineStr">
        <is>
          <t>Mar-30</t>
        </is>
      </c>
      <c r="AS3" s="149" t="inlineStr">
        <is>
          <t>Apr-30</t>
        </is>
      </c>
      <c r="AT3" s="149" t="inlineStr">
        <is>
          <t>May-30</t>
        </is>
      </c>
      <c r="AU3" s="149" t="inlineStr">
        <is>
          <t>Jun-30</t>
        </is>
      </c>
      <c r="AV3" s="149" t="inlineStr">
        <is>
          <t>Jul-30</t>
        </is>
      </c>
      <c r="AW3" s="149" t="inlineStr">
        <is>
          <t>Aug-30</t>
        </is>
      </c>
      <c r="AX3" s="149" t="inlineStr">
        <is>
          <t>Sep-30</t>
        </is>
      </c>
      <c r="AY3" s="149" t="inlineStr">
        <is>
          <t>Oct-30</t>
        </is>
      </c>
      <c r="AZ3" s="149" t="inlineStr">
        <is>
          <t>Nov-30</t>
        </is>
      </c>
      <c r="BA3" s="149" t="inlineStr">
        <is>
          <t>Dec-30</t>
        </is>
      </c>
      <c r="BB3" s="149" t="inlineStr">
        <is>
          <t>Jan-31</t>
        </is>
      </c>
      <c r="BC3" s="149" t="inlineStr">
        <is>
          <t>Feb-31</t>
        </is>
      </c>
      <c r="BD3" s="149" t="inlineStr">
        <is>
          <t>Mar-31</t>
        </is>
      </c>
      <c r="BE3" s="149" t="inlineStr">
        <is>
          <t>Apr-31</t>
        </is>
      </c>
      <c r="BF3" s="149" t="inlineStr">
        <is>
          <t>May-31</t>
        </is>
      </c>
      <c r="BG3" s="149" t="inlineStr">
        <is>
          <t>Jun-31</t>
        </is>
      </c>
      <c r="BH3" s="149" t="inlineStr">
        <is>
          <t>Jul-31</t>
        </is>
      </c>
      <c r="BI3" s="149" t="inlineStr">
        <is>
          <t>Aug-31</t>
        </is>
      </c>
      <c r="BJ3" s="149" t="inlineStr">
        <is>
          <t>Sep-31</t>
        </is>
      </c>
      <c r="BL3" s="150" t="inlineStr">
        <is>
          <t>FY1</t>
        </is>
      </c>
      <c r="BM3" s="150" t="inlineStr">
        <is>
          <t>FY2</t>
        </is>
      </c>
      <c r="BN3" s="150" t="inlineStr">
        <is>
          <t>FY3</t>
        </is>
      </c>
      <c r="BO3" s="150" t="inlineStr">
        <is>
          <t>FY4</t>
        </is>
      </c>
      <c r="BP3" s="150" t="inlineStr">
        <is>
          <t>FY5</t>
        </is>
      </c>
    </row>
    <row r="4" ht="15" customHeight="1" s="104">
      <c r="A4" s="213" t="inlineStr">
        <is>
          <t>Active (1=Yes)</t>
        </is>
      </c>
      <c r="C4" s="220">
        <f>IF(Assumptions!B51="",0,IF(IFERROR(DATEVALUE(TEXT(Assumptions!B51,"MM/DD/YYYY")),0)&lt;=DATE(2026,10,31),1,0))</f>
        <v/>
      </c>
      <c r="D4" s="220">
        <f>IF(Assumptions!B51="",0,IF(IFERROR(DATEVALUE(TEXT(Assumptions!B51,"MM/DD/YYYY")),0)&lt;=DATE(2026,11,30),1,0))</f>
        <v/>
      </c>
      <c r="E4" s="220">
        <f>IF(Assumptions!B51="",0,IF(IFERROR(DATEVALUE(TEXT(Assumptions!B51,"MM/DD/YYYY")),0)&lt;=DATE(2026,12,31),1,0))</f>
        <v/>
      </c>
      <c r="F4" s="220">
        <f>IF(Assumptions!B51="",0,IF(IFERROR(DATEVALUE(TEXT(Assumptions!B51,"MM/DD/YYYY")),0)&lt;=DATE(2027,1,31),1,0))</f>
        <v/>
      </c>
      <c r="G4" s="220">
        <f>IF(Assumptions!B51="",0,IF(IFERROR(DATEVALUE(TEXT(Assumptions!B51,"MM/DD/YYYY")),0)&lt;=DATE(2027,2,28),1,0))</f>
        <v/>
      </c>
      <c r="H4" s="220">
        <f>IF(Assumptions!B51="",0,IF(IFERROR(DATEVALUE(TEXT(Assumptions!B51,"MM/DD/YYYY")),0)&lt;=DATE(2027,3,31),1,0))</f>
        <v/>
      </c>
      <c r="I4" s="220">
        <f>IF(Assumptions!B51="",0,IF(IFERROR(DATEVALUE(TEXT(Assumptions!B51,"MM/DD/YYYY")),0)&lt;=DATE(2027,4,30),1,0))</f>
        <v/>
      </c>
      <c r="J4" s="220">
        <f>IF(Assumptions!B51="",0,IF(IFERROR(DATEVALUE(TEXT(Assumptions!B51,"MM/DD/YYYY")),0)&lt;=DATE(2027,5,31),1,0))</f>
        <v/>
      </c>
      <c r="K4" s="220">
        <f>IF(Assumptions!B51="",0,IF(IFERROR(DATEVALUE(TEXT(Assumptions!B51,"MM/DD/YYYY")),0)&lt;=DATE(2027,6,30),1,0))</f>
        <v/>
      </c>
      <c r="L4" s="220">
        <f>IF(Assumptions!B51="",0,IF(IFERROR(DATEVALUE(TEXT(Assumptions!B51,"MM/DD/YYYY")),0)&lt;=DATE(2027,7,31),1,0))</f>
        <v/>
      </c>
      <c r="M4" s="220">
        <f>IF(Assumptions!B51="",0,IF(IFERROR(DATEVALUE(TEXT(Assumptions!B51,"MM/DD/YYYY")),0)&lt;=DATE(2027,8,31),1,0))</f>
        <v/>
      </c>
      <c r="N4" s="220">
        <f>IF(Assumptions!B51="",0,IF(IFERROR(DATEVALUE(TEXT(Assumptions!B51,"MM/DD/YYYY")),0)&lt;=DATE(2027,9,30),1,0))</f>
        <v/>
      </c>
      <c r="O4" s="220">
        <f>IF(Assumptions!B51="",0,IF(IFERROR(DATEVALUE(TEXT(Assumptions!B51,"MM/DD/YYYY")),0)&lt;=DATE(2027,10,31),1,0))</f>
        <v/>
      </c>
      <c r="P4" s="220">
        <f>IF(Assumptions!B51="",0,IF(IFERROR(DATEVALUE(TEXT(Assumptions!B51,"MM/DD/YYYY")),0)&lt;=DATE(2027,11,30),1,0))</f>
        <v/>
      </c>
      <c r="Q4" s="220">
        <f>IF(Assumptions!B51="",0,IF(IFERROR(DATEVALUE(TEXT(Assumptions!B51,"MM/DD/YYYY")),0)&lt;=DATE(2027,12,31),1,0))</f>
        <v/>
      </c>
      <c r="R4" s="220">
        <f>IF(Assumptions!B51="",0,IF(IFERROR(DATEVALUE(TEXT(Assumptions!B51,"MM/DD/YYYY")),0)&lt;=DATE(2028,1,31),1,0))</f>
        <v/>
      </c>
      <c r="S4" s="220">
        <f>IF(Assumptions!B51="",0,IF(IFERROR(DATEVALUE(TEXT(Assumptions!B51,"MM/DD/YYYY")),0)&lt;=DATE(2028,2,29),1,0))</f>
        <v/>
      </c>
      <c r="T4" s="220">
        <f>IF(Assumptions!B51="",0,IF(IFERROR(DATEVALUE(TEXT(Assumptions!B51,"MM/DD/YYYY")),0)&lt;=DATE(2028,3,31),1,0))</f>
        <v/>
      </c>
      <c r="U4" s="220">
        <f>IF(Assumptions!B51="",0,IF(IFERROR(DATEVALUE(TEXT(Assumptions!B51,"MM/DD/YYYY")),0)&lt;=DATE(2028,4,30),1,0))</f>
        <v/>
      </c>
      <c r="V4" s="220">
        <f>IF(Assumptions!B51="",0,IF(IFERROR(DATEVALUE(TEXT(Assumptions!B51,"MM/DD/YYYY")),0)&lt;=DATE(2028,5,31),1,0))</f>
        <v/>
      </c>
      <c r="W4" s="220">
        <f>IF(Assumptions!B51="",0,IF(IFERROR(DATEVALUE(TEXT(Assumptions!B51,"MM/DD/YYYY")),0)&lt;=DATE(2028,6,30),1,0))</f>
        <v/>
      </c>
      <c r="X4" s="220">
        <f>IF(Assumptions!B51="",0,IF(IFERROR(DATEVALUE(TEXT(Assumptions!B51,"MM/DD/YYYY")),0)&lt;=DATE(2028,7,31),1,0))</f>
        <v/>
      </c>
      <c r="Y4" s="220">
        <f>IF(Assumptions!B51="",0,IF(IFERROR(DATEVALUE(TEXT(Assumptions!B51,"MM/DD/YYYY")),0)&lt;=DATE(2028,8,31),1,0))</f>
        <v/>
      </c>
      <c r="Z4" s="220">
        <f>IF(Assumptions!B51="",0,IF(IFERROR(DATEVALUE(TEXT(Assumptions!B51,"MM/DD/YYYY")),0)&lt;=DATE(2028,9,30),1,0))</f>
        <v/>
      </c>
      <c r="AA4" s="220">
        <f>IF(Assumptions!B51="",0,IF(IFERROR(DATEVALUE(TEXT(Assumptions!B51,"MM/DD/YYYY")),0)&lt;=DATE(2028,10,31),1,0))</f>
        <v/>
      </c>
      <c r="AB4" s="220">
        <f>IF(Assumptions!B51="",0,IF(IFERROR(DATEVALUE(TEXT(Assumptions!B51,"MM/DD/YYYY")),0)&lt;=DATE(2028,11,30),1,0))</f>
        <v/>
      </c>
      <c r="AC4" s="220">
        <f>IF(Assumptions!B51="",0,IF(IFERROR(DATEVALUE(TEXT(Assumptions!B51,"MM/DD/YYYY")),0)&lt;=DATE(2028,12,31),1,0))</f>
        <v/>
      </c>
      <c r="AD4" s="220">
        <f>IF(Assumptions!B51="",0,IF(IFERROR(DATEVALUE(TEXT(Assumptions!B51,"MM/DD/YYYY")),0)&lt;=DATE(2029,1,31),1,0))</f>
        <v/>
      </c>
      <c r="AE4" s="220">
        <f>IF(Assumptions!B51="",0,IF(IFERROR(DATEVALUE(TEXT(Assumptions!B51,"MM/DD/YYYY")),0)&lt;=DATE(2029,2,28),1,0))</f>
        <v/>
      </c>
      <c r="AF4" s="220">
        <f>IF(Assumptions!B51="",0,IF(IFERROR(DATEVALUE(TEXT(Assumptions!B51,"MM/DD/YYYY")),0)&lt;=DATE(2029,3,31),1,0))</f>
        <v/>
      </c>
      <c r="AG4" s="220">
        <f>IF(Assumptions!B51="",0,IF(IFERROR(DATEVALUE(TEXT(Assumptions!B51,"MM/DD/YYYY")),0)&lt;=DATE(2029,4,30),1,0))</f>
        <v/>
      </c>
      <c r="AH4" s="220">
        <f>IF(Assumptions!B51="",0,IF(IFERROR(DATEVALUE(TEXT(Assumptions!B51,"MM/DD/YYYY")),0)&lt;=DATE(2029,5,31),1,0))</f>
        <v/>
      </c>
      <c r="AI4" s="220">
        <f>IF(Assumptions!B51="",0,IF(IFERROR(DATEVALUE(TEXT(Assumptions!B51,"MM/DD/YYYY")),0)&lt;=DATE(2029,6,30),1,0))</f>
        <v/>
      </c>
      <c r="AJ4" s="220">
        <f>IF(Assumptions!B51="",0,IF(IFERROR(DATEVALUE(TEXT(Assumptions!B51,"MM/DD/YYYY")),0)&lt;=DATE(2029,7,31),1,0))</f>
        <v/>
      </c>
      <c r="AK4" s="220">
        <f>IF(Assumptions!B51="",0,IF(IFERROR(DATEVALUE(TEXT(Assumptions!B51,"MM/DD/YYYY")),0)&lt;=DATE(2029,8,31),1,0))</f>
        <v/>
      </c>
      <c r="AL4" s="220">
        <f>IF(Assumptions!B51="",0,IF(IFERROR(DATEVALUE(TEXT(Assumptions!B51,"MM/DD/YYYY")),0)&lt;=DATE(2029,9,30),1,0))</f>
        <v/>
      </c>
      <c r="AM4" s="220">
        <f>IF(Assumptions!B51="",0,IF(IFERROR(DATEVALUE(TEXT(Assumptions!B51,"MM/DD/YYYY")),0)&lt;=DATE(2029,10,31),1,0))</f>
        <v/>
      </c>
      <c r="AN4" s="220">
        <f>IF(Assumptions!B51="",0,IF(IFERROR(DATEVALUE(TEXT(Assumptions!B51,"MM/DD/YYYY")),0)&lt;=DATE(2029,11,30),1,0))</f>
        <v/>
      </c>
      <c r="AO4" s="220">
        <f>IF(Assumptions!B51="",0,IF(IFERROR(DATEVALUE(TEXT(Assumptions!B51,"MM/DD/YYYY")),0)&lt;=DATE(2029,12,31),1,0))</f>
        <v/>
      </c>
      <c r="AP4" s="220">
        <f>IF(Assumptions!B51="",0,IF(IFERROR(DATEVALUE(TEXT(Assumptions!B51,"MM/DD/YYYY")),0)&lt;=DATE(2030,1,31),1,0))</f>
        <v/>
      </c>
      <c r="AQ4" s="220">
        <f>IF(Assumptions!B51="",0,IF(IFERROR(DATEVALUE(TEXT(Assumptions!B51,"MM/DD/YYYY")),0)&lt;=DATE(2030,2,28),1,0))</f>
        <v/>
      </c>
      <c r="AR4" s="220">
        <f>IF(Assumptions!B51="",0,IF(IFERROR(DATEVALUE(TEXT(Assumptions!B51,"MM/DD/YYYY")),0)&lt;=DATE(2030,3,31),1,0))</f>
        <v/>
      </c>
      <c r="AS4" s="220">
        <f>IF(Assumptions!B51="",0,IF(IFERROR(DATEVALUE(TEXT(Assumptions!B51,"MM/DD/YYYY")),0)&lt;=DATE(2030,4,30),1,0))</f>
        <v/>
      </c>
      <c r="AT4" s="220">
        <f>IF(Assumptions!B51="",0,IF(IFERROR(DATEVALUE(TEXT(Assumptions!B51,"MM/DD/YYYY")),0)&lt;=DATE(2030,5,31),1,0))</f>
        <v/>
      </c>
      <c r="AU4" s="220">
        <f>IF(Assumptions!B51="",0,IF(IFERROR(DATEVALUE(TEXT(Assumptions!B51,"MM/DD/YYYY")),0)&lt;=DATE(2030,6,30),1,0))</f>
        <v/>
      </c>
      <c r="AV4" s="220">
        <f>IF(Assumptions!B51="",0,IF(IFERROR(DATEVALUE(TEXT(Assumptions!B51,"MM/DD/YYYY")),0)&lt;=DATE(2030,7,31),1,0))</f>
        <v/>
      </c>
      <c r="AW4" s="220">
        <f>IF(Assumptions!B51="",0,IF(IFERROR(DATEVALUE(TEXT(Assumptions!B51,"MM/DD/YYYY")),0)&lt;=DATE(2030,8,31),1,0))</f>
        <v/>
      </c>
      <c r="AX4" s="220">
        <f>IF(Assumptions!B51="",0,IF(IFERROR(DATEVALUE(TEXT(Assumptions!B51,"MM/DD/YYYY")),0)&lt;=DATE(2030,9,30),1,0))</f>
        <v/>
      </c>
      <c r="AY4" s="220">
        <f>IF(Assumptions!B51="",0,IF(IFERROR(DATEVALUE(TEXT(Assumptions!B51,"MM/DD/YYYY")),0)&lt;=DATE(2030,10,31),1,0))</f>
        <v/>
      </c>
      <c r="AZ4" s="220">
        <f>IF(Assumptions!B51="",0,IF(IFERROR(DATEVALUE(TEXT(Assumptions!B51,"MM/DD/YYYY")),0)&lt;=DATE(2030,11,30),1,0))</f>
        <v/>
      </c>
      <c r="BA4" s="220">
        <f>IF(Assumptions!B51="",0,IF(IFERROR(DATEVALUE(TEXT(Assumptions!B51,"MM/DD/YYYY")),0)&lt;=DATE(2030,12,31),1,0))</f>
        <v/>
      </c>
      <c r="BB4" s="220">
        <f>IF(Assumptions!B51="",0,IF(IFERROR(DATEVALUE(TEXT(Assumptions!B51,"MM/DD/YYYY")),0)&lt;=DATE(2031,1,31),1,0))</f>
        <v/>
      </c>
      <c r="BC4" s="220">
        <f>IF(Assumptions!B51="",0,IF(IFERROR(DATEVALUE(TEXT(Assumptions!B51,"MM/DD/YYYY")),0)&lt;=DATE(2031,2,28),1,0))</f>
        <v/>
      </c>
      <c r="BD4" s="220">
        <f>IF(Assumptions!B51="",0,IF(IFERROR(DATEVALUE(TEXT(Assumptions!B51,"MM/DD/YYYY")),0)&lt;=DATE(2031,3,31),1,0))</f>
        <v/>
      </c>
      <c r="BE4" s="220">
        <f>IF(Assumptions!B51="",0,IF(IFERROR(DATEVALUE(TEXT(Assumptions!B51,"MM/DD/YYYY")),0)&lt;=DATE(2031,4,30),1,0))</f>
        <v/>
      </c>
      <c r="BF4" s="220">
        <f>IF(Assumptions!B51="",0,IF(IFERROR(DATEVALUE(TEXT(Assumptions!B51,"MM/DD/YYYY")),0)&lt;=DATE(2031,5,31),1,0))</f>
        <v/>
      </c>
      <c r="BG4" s="220">
        <f>IF(Assumptions!B51="",0,IF(IFERROR(DATEVALUE(TEXT(Assumptions!B51,"MM/DD/YYYY")),0)&lt;=DATE(2031,6,30),1,0))</f>
        <v/>
      </c>
      <c r="BH4" s="220">
        <f>IF(Assumptions!B51="",0,IF(IFERROR(DATEVALUE(TEXT(Assumptions!B51,"MM/DD/YYYY")),0)&lt;=DATE(2031,7,31),1,0))</f>
        <v/>
      </c>
      <c r="BI4" s="220">
        <f>IF(Assumptions!B51="",0,IF(IFERROR(DATEVALUE(TEXT(Assumptions!B51,"MM/DD/YYYY")),0)&lt;=DATE(2031,8,31),1,0))</f>
        <v/>
      </c>
      <c r="BJ4" s="220">
        <f>IF(Assumptions!B51="",0,IF(IFERROR(DATEVALUE(TEXT(Assumptions!B51,"MM/DD/YYYY")),0)&lt;=DATE(2031,9,30),1,0))</f>
        <v/>
      </c>
    </row>
    <row r="5" ht="15" customHeight="1" s="104">
      <c r="A5" s="106" t="inlineStr">
        <is>
          <t>REVENUE</t>
        </is>
      </c>
    </row>
    <row r="6" ht="15" customHeight="1" s="104">
      <c r="A6" s="116" t="inlineStr">
        <is>
          <t>Monthly Revenue</t>
        </is>
      </c>
      <c r="C6" s="151">
        <f>IF(C4=0,0,(Assumptions!C51/12))</f>
        <v/>
      </c>
      <c r="D6" s="151">
        <f>IF(D4=0,0,(Assumptions!C51/12)*POWER(1+Assumptions!B17,1/12))</f>
        <v/>
      </c>
      <c r="E6" s="151">
        <f>IF(E4=0,0,(Assumptions!C51/12)*POWER(1+Assumptions!B17,2/12))</f>
        <v/>
      </c>
      <c r="F6" s="151">
        <f>IF(F4=0,0,(Assumptions!C51/12)*POWER(1+Assumptions!B17,3/12))</f>
        <v/>
      </c>
      <c r="G6" s="151">
        <f>IF(G4=0,0,(Assumptions!C51/12)*POWER(1+Assumptions!B17,4/12))</f>
        <v/>
      </c>
      <c r="H6" s="151">
        <f>IF(H4=0,0,(Assumptions!C51/12)*POWER(1+Assumptions!B17,5/12))</f>
        <v/>
      </c>
      <c r="I6" s="151">
        <f>IF(I4=0,0,(Assumptions!C51/12)*POWER(1+Assumptions!B17,6/12))</f>
        <v/>
      </c>
      <c r="J6" s="151">
        <f>IF(J4=0,0,(Assumptions!C51/12)*POWER(1+Assumptions!B17,7/12))</f>
        <v/>
      </c>
      <c r="K6" s="151">
        <f>IF(K4=0,0,(Assumptions!C51/12)*POWER(1+Assumptions!B17,8/12))</f>
        <v/>
      </c>
      <c r="L6" s="151">
        <f>IF(L4=0,0,(Assumptions!C51/12)*POWER(1+Assumptions!B17,9/12))</f>
        <v/>
      </c>
      <c r="M6" s="151">
        <f>IF(M4=0,0,(Assumptions!C51/12)*POWER(1+Assumptions!B17,10/12))</f>
        <v/>
      </c>
      <c r="N6" s="151">
        <f>IF(N4=0,0,(Assumptions!C51/12)*POWER(1+Assumptions!B17,11/12))</f>
        <v/>
      </c>
      <c r="O6" s="151">
        <f>IF(O4=0,0,(Assumptions!C51*(1+Assumptions!B17)/12))</f>
        <v/>
      </c>
      <c r="P6" s="151">
        <f>IF(P4=0,0,(Assumptions!C51*(1+Assumptions!B17)/12)*POWER(1+Assumptions!B18,1/12))</f>
        <v/>
      </c>
      <c r="Q6" s="151">
        <f>IF(Q4=0,0,(Assumptions!C51*(1+Assumptions!B17)/12)*POWER(1+Assumptions!B18,2/12))</f>
        <v/>
      </c>
      <c r="R6" s="151">
        <f>IF(R4=0,0,(Assumptions!C51*(1+Assumptions!B17)/12)*POWER(1+Assumptions!B18,3/12))</f>
        <v/>
      </c>
      <c r="S6" s="151">
        <f>IF(S4=0,0,(Assumptions!C51*(1+Assumptions!B17)/12)*POWER(1+Assumptions!B18,4/12))</f>
        <v/>
      </c>
      <c r="T6" s="151">
        <f>IF(T4=0,0,(Assumptions!C51*(1+Assumptions!B17)/12)*POWER(1+Assumptions!B18,5/12))</f>
        <v/>
      </c>
      <c r="U6" s="151">
        <f>IF(U4=0,0,(Assumptions!C51*(1+Assumptions!B17)/12)*POWER(1+Assumptions!B18,6/12))</f>
        <v/>
      </c>
      <c r="V6" s="151">
        <f>IF(V4=0,0,(Assumptions!C51*(1+Assumptions!B17)/12)*POWER(1+Assumptions!B18,7/12))</f>
        <v/>
      </c>
      <c r="W6" s="151">
        <f>IF(W4=0,0,(Assumptions!C51*(1+Assumptions!B17)/12)*POWER(1+Assumptions!B18,8/12))</f>
        <v/>
      </c>
      <c r="X6" s="151">
        <f>IF(X4=0,0,(Assumptions!C51*(1+Assumptions!B17)/12)*POWER(1+Assumptions!B18,9/12))</f>
        <v/>
      </c>
      <c r="Y6" s="151">
        <f>IF(Y4=0,0,(Assumptions!C51*(1+Assumptions!B17)/12)*POWER(1+Assumptions!B18,10/12))</f>
        <v/>
      </c>
      <c r="Z6" s="151">
        <f>IF(Z4=0,0,(Assumptions!C51*(1+Assumptions!B17)/12)*POWER(1+Assumptions!B18,11/12))</f>
        <v/>
      </c>
      <c r="AA6" s="151">
        <f>IF(AA4=0,0,(Assumptions!C51*(1+Assumptions!B17)*(1+Assumptions!B18)/12))</f>
        <v/>
      </c>
      <c r="AB6" s="151">
        <f>IF(AB4=0,0,(Assumptions!C51*(1+Assumptions!B17)*(1+Assumptions!B18)/12)*POWER(1+Assumptions!B19,1/12))</f>
        <v/>
      </c>
      <c r="AC6" s="151">
        <f>IF(AC4=0,0,(Assumptions!C51*(1+Assumptions!B17)*(1+Assumptions!B18)/12)*POWER(1+Assumptions!B19,2/12))</f>
        <v/>
      </c>
      <c r="AD6" s="151">
        <f>IF(AD4=0,0,(Assumptions!C51*(1+Assumptions!B17)*(1+Assumptions!B18)/12)*POWER(1+Assumptions!B19,3/12))</f>
        <v/>
      </c>
      <c r="AE6" s="151">
        <f>IF(AE4=0,0,(Assumptions!C51*(1+Assumptions!B17)*(1+Assumptions!B18)/12)*POWER(1+Assumptions!B19,4/12))</f>
        <v/>
      </c>
      <c r="AF6" s="151">
        <f>IF(AF4=0,0,(Assumptions!C51*(1+Assumptions!B17)*(1+Assumptions!B18)/12)*POWER(1+Assumptions!B19,5/12))</f>
        <v/>
      </c>
      <c r="AG6" s="151">
        <f>IF(AG4=0,0,(Assumptions!C51*(1+Assumptions!B17)*(1+Assumptions!B18)/12)*POWER(1+Assumptions!B19,6/12))</f>
        <v/>
      </c>
      <c r="AH6" s="151">
        <f>IF(AH4=0,0,(Assumptions!C51*(1+Assumptions!B17)*(1+Assumptions!B18)/12)*POWER(1+Assumptions!B19,7/12))</f>
        <v/>
      </c>
      <c r="AI6" s="151">
        <f>IF(AI4=0,0,(Assumptions!C51*(1+Assumptions!B17)*(1+Assumptions!B18)/12)*POWER(1+Assumptions!B19,8/12))</f>
        <v/>
      </c>
      <c r="AJ6" s="151">
        <f>IF(AJ4=0,0,(Assumptions!C51*(1+Assumptions!B17)*(1+Assumptions!B18)/12)*POWER(1+Assumptions!B19,9/12))</f>
        <v/>
      </c>
      <c r="AK6" s="151">
        <f>IF(AK4=0,0,(Assumptions!C51*(1+Assumptions!B17)*(1+Assumptions!B18)/12)*POWER(1+Assumptions!B19,10/12))</f>
        <v/>
      </c>
      <c r="AL6" s="151">
        <f>IF(AL4=0,0,(Assumptions!C51*(1+Assumptions!B17)*(1+Assumptions!B18)/12)*POWER(1+Assumptions!B19,11/12))</f>
        <v/>
      </c>
      <c r="AM6" s="151">
        <f>IF(AM4=0,0,(Assumptions!C51*(1+Assumptions!B17)*(1+Assumptions!B18)*(1+Assumptions!B19)/12))</f>
        <v/>
      </c>
      <c r="AN6" s="151">
        <f>IF(AN4=0,0,(Assumptions!C51*(1+Assumptions!B17)*(1+Assumptions!B18)*(1+Assumptions!B19)/12)*POWER(1+Assumptions!B20,1/12))</f>
        <v/>
      </c>
      <c r="AO6" s="151">
        <f>IF(AO4=0,0,(Assumptions!C51*(1+Assumptions!B17)*(1+Assumptions!B18)*(1+Assumptions!B19)/12)*POWER(1+Assumptions!B20,2/12))</f>
        <v/>
      </c>
      <c r="AP6" s="151">
        <f>IF(AP4=0,0,(Assumptions!C51*(1+Assumptions!B17)*(1+Assumptions!B18)*(1+Assumptions!B19)/12)*POWER(1+Assumptions!B20,3/12))</f>
        <v/>
      </c>
      <c r="AQ6" s="151">
        <f>IF(AQ4=0,0,(Assumptions!C51*(1+Assumptions!B17)*(1+Assumptions!B18)*(1+Assumptions!B19)/12)*POWER(1+Assumptions!B20,4/12))</f>
        <v/>
      </c>
      <c r="AR6" s="151">
        <f>IF(AR4=0,0,(Assumptions!C51*(1+Assumptions!B17)*(1+Assumptions!B18)*(1+Assumptions!B19)/12)*POWER(1+Assumptions!B20,5/12))</f>
        <v/>
      </c>
      <c r="AS6" s="151">
        <f>IF(AS4=0,0,(Assumptions!C51*(1+Assumptions!B17)*(1+Assumptions!B18)*(1+Assumptions!B19)/12)*POWER(1+Assumptions!B20,6/12))</f>
        <v/>
      </c>
      <c r="AT6" s="151">
        <f>IF(AT4=0,0,(Assumptions!C51*(1+Assumptions!B17)*(1+Assumptions!B18)*(1+Assumptions!B19)/12)*POWER(1+Assumptions!B20,7/12))</f>
        <v/>
      </c>
      <c r="AU6" s="151">
        <f>IF(AU4=0,0,(Assumptions!C51*(1+Assumptions!B17)*(1+Assumptions!B18)*(1+Assumptions!B19)/12)*POWER(1+Assumptions!B20,8/12))</f>
        <v/>
      </c>
      <c r="AV6" s="151">
        <f>IF(AV4=0,0,(Assumptions!C51*(1+Assumptions!B17)*(1+Assumptions!B18)*(1+Assumptions!B19)/12)*POWER(1+Assumptions!B20,9/12))</f>
        <v/>
      </c>
      <c r="AW6" s="151">
        <f>IF(AW4=0,0,(Assumptions!C51*(1+Assumptions!B17)*(1+Assumptions!B18)*(1+Assumptions!B19)/12)*POWER(1+Assumptions!B20,10/12))</f>
        <v/>
      </c>
      <c r="AX6" s="151">
        <f>IF(AX4=0,0,(Assumptions!C51*(1+Assumptions!B17)*(1+Assumptions!B18)*(1+Assumptions!B19)/12)*POWER(1+Assumptions!B20,11/12))</f>
        <v/>
      </c>
      <c r="AY6" s="151">
        <f>IF(AY4=0,0,(Assumptions!C51*(1+Assumptions!B17)*(1+Assumptions!B18)*(1+Assumptions!B19)*(1+Assumptions!B20)/12))</f>
        <v/>
      </c>
      <c r="AZ6" s="151">
        <f>IF(AZ4=0,0,(Assumptions!C51*(1+Assumptions!B17)*(1+Assumptions!B18)*(1+Assumptions!B19)*(1+Assumptions!B20)/12)*POWER(1+Assumptions!B21,1/12))</f>
        <v/>
      </c>
      <c r="BA6" s="151">
        <f>IF(BA4=0,0,(Assumptions!C51*(1+Assumptions!B17)*(1+Assumptions!B18)*(1+Assumptions!B19)*(1+Assumptions!B20)/12)*POWER(1+Assumptions!B21,2/12))</f>
        <v/>
      </c>
      <c r="BB6" s="151">
        <f>IF(BB4=0,0,(Assumptions!C51*(1+Assumptions!B17)*(1+Assumptions!B18)*(1+Assumptions!B19)*(1+Assumptions!B20)/12)*POWER(1+Assumptions!B21,3/12))</f>
        <v/>
      </c>
      <c r="BC6" s="151">
        <f>IF(BC4=0,0,(Assumptions!C51*(1+Assumptions!B17)*(1+Assumptions!B18)*(1+Assumptions!B19)*(1+Assumptions!B20)/12)*POWER(1+Assumptions!B21,4/12))</f>
        <v/>
      </c>
      <c r="BD6" s="151">
        <f>IF(BD4=0,0,(Assumptions!C51*(1+Assumptions!B17)*(1+Assumptions!B18)*(1+Assumptions!B19)*(1+Assumptions!B20)/12)*POWER(1+Assumptions!B21,5/12))</f>
        <v/>
      </c>
      <c r="BE6" s="151">
        <f>IF(BE4=0,0,(Assumptions!C51*(1+Assumptions!B17)*(1+Assumptions!B18)*(1+Assumptions!B19)*(1+Assumptions!B20)/12)*POWER(1+Assumptions!B21,6/12))</f>
        <v/>
      </c>
      <c r="BF6" s="151">
        <f>IF(BF4=0,0,(Assumptions!C51*(1+Assumptions!B17)*(1+Assumptions!B18)*(1+Assumptions!B19)*(1+Assumptions!B20)/12)*POWER(1+Assumptions!B21,7/12))</f>
        <v/>
      </c>
      <c r="BG6" s="151">
        <f>IF(BG4=0,0,(Assumptions!C51*(1+Assumptions!B17)*(1+Assumptions!B18)*(1+Assumptions!B19)*(1+Assumptions!B20)/12)*POWER(1+Assumptions!B21,8/12))</f>
        <v/>
      </c>
      <c r="BH6" s="151">
        <f>IF(BH4=0,0,(Assumptions!C51*(1+Assumptions!B17)*(1+Assumptions!B18)*(1+Assumptions!B19)*(1+Assumptions!B20)/12)*POWER(1+Assumptions!B21,9/12))</f>
        <v/>
      </c>
      <c r="BI6" s="151">
        <f>IF(BI4=0,0,(Assumptions!C51*(1+Assumptions!B17)*(1+Assumptions!B18)*(1+Assumptions!B19)*(1+Assumptions!B20)/12)*POWER(1+Assumptions!B21,10/12))</f>
        <v/>
      </c>
      <c r="BJ6" s="151">
        <f>IF(BJ4=0,0,(Assumptions!C51*(1+Assumptions!B17)*(1+Assumptions!B18)*(1+Assumptions!B19)*(1+Assumptions!B20)/12)*POWER(1+Assumptions!B21,11/12))</f>
        <v/>
      </c>
      <c r="BL6" s="152">
        <f>C6+D6+E6+F6+G6+H6+I6+J6+K6+L6+M6+N6</f>
        <v/>
      </c>
      <c r="BM6" s="152">
        <f>O6+P6+Q6+R6+S6+T6+U6+V6+W6+X6+Y6+Z6</f>
        <v/>
      </c>
      <c r="BN6" s="152">
        <f>AA6+AB6+AC6+AD6+AE6+AF6+AG6+AH6+AI6+AJ6+AK6+AL6</f>
        <v/>
      </c>
      <c r="BO6" s="152">
        <f>AM6+AN6+AO6+AP6+AQ6+AR6+AS6+AT6+AU6+AV6+AW6+AX6</f>
        <v/>
      </c>
      <c r="BP6" s="152">
        <f>AY6+AZ6+BA6+BB6+BC6+BD6+BE6+BF6+BG6+BH6+BI6+BJ6</f>
        <v/>
      </c>
    </row>
    <row r="7" ht="15" customHeight="1" s="104">
      <c r="A7" s="106" t="inlineStr">
        <is>
          <t>OPERATING EXPENSES</t>
        </is>
      </c>
    </row>
    <row r="8" ht="15" customHeight="1" s="104">
      <c r="A8" s="107" t="inlineStr">
        <is>
          <t>Attorney Compensation</t>
        </is>
      </c>
      <c r="C8" s="156">
        <f>C6*(Assumptions!B24+Assumptions!B25*0)</f>
        <v/>
      </c>
      <c r="D8" s="156">
        <f>D6*(Assumptions!B24+Assumptions!B25*0)</f>
        <v/>
      </c>
      <c r="E8" s="156">
        <f>E6*(Assumptions!B24+Assumptions!B25*0)</f>
        <v/>
      </c>
      <c r="F8" s="156">
        <f>F6*(Assumptions!B24+Assumptions!B25*0)</f>
        <v/>
      </c>
      <c r="G8" s="156">
        <f>G6*(Assumptions!B24+Assumptions!B25*0)</f>
        <v/>
      </c>
      <c r="H8" s="156">
        <f>H6*(Assumptions!B24+Assumptions!B25*0)</f>
        <v/>
      </c>
      <c r="I8" s="156">
        <f>I6*(Assumptions!B24+Assumptions!B25*0)</f>
        <v/>
      </c>
      <c r="J8" s="156">
        <f>J6*(Assumptions!B24+Assumptions!B25*0)</f>
        <v/>
      </c>
      <c r="K8" s="156">
        <f>K6*(Assumptions!B24+Assumptions!B25*0)</f>
        <v/>
      </c>
      <c r="L8" s="156">
        <f>L6*(Assumptions!B24+Assumptions!B25*0)</f>
        <v/>
      </c>
      <c r="M8" s="156">
        <f>M6*(Assumptions!B24+Assumptions!B25*0)</f>
        <v/>
      </c>
      <c r="N8" s="156">
        <f>N6*(Assumptions!B24+Assumptions!B25*0)</f>
        <v/>
      </c>
      <c r="O8" s="156">
        <f>O6*(Assumptions!B24+Assumptions!B25*1)</f>
        <v/>
      </c>
      <c r="P8" s="156">
        <f>P6*(Assumptions!B24+Assumptions!B25*1)</f>
        <v/>
      </c>
      <c r="Q8" s="156">
        <f>Q6*(Assumptions!B24+Assumptions!B25*1)</f>
        <v/>
      </c>
      <c r="R8" s="156">
        <f>R6*(Assumptions!B24+Assumptions!B25*1)</f>
        <v/>
      </c>
      <c r="S8" s="156">
        <f>S6*(Assumptions!B24+Assumptions!B25*1)</f>
        <v/>
      </c>
      <c r="T8" s="156">
        <f>T6*(Assumptions!B24+Assumptions!B25*1)</f>
        <v/>
      </c>
      <c r="U8" s="156">
        <f>U6*(Assumptions!B24+Assumptions!B25*1)</f>
        <v/>
      </c>
      <c r="V8" s="156">
        <f>V6*(Assumptions!B24+Assumptions!B25*1)</f>
        <v/>
      </c>
      <c r="W8" s="156">
        <f>W6*(Assumptions!B24+Assumptions!B25*1)</f>
        <v/>
      </c>
      <c r="X8" s="156">
        <f>X6*(Assumptions!B24+Assumptions!B25*1)</f>
        <v/>
      </c>
      <c r="Y8" s="156">
        <f>Y6*(Assumptions!B24+Assumptions!B25*1)</f>
        <v/>
      </c>
      <c r="Z8" s="156">
        <f>Z6*(Assumptions!B24+Assumptions!B25*1)</f>
        <v/>
      </c>
      <c r="AA8" s="156">
        <f>AA6*(Assumptions!B24+Assumptions!B25*2)</f>
        <v/>
      </c>
      <c r="AB8" s="156">
        <f>AB6*(Assumptions!B24+Assumptions!B25*2)</f>
        <v/>
      </c>
      <c r="AC8" s="156">
        <f>AC6*(Assumptions!B24+Assumptions!B25*2)</f>
        <v/>
      </c>
      <c r="AD8" s="156">
        <f>AD6*(Assumptions!B24+Assumptions!B25*2)</f>
        <v/>
      </c>
      <c r="AE8" s="156">
        <f>AE6*(Assumptions!B24+Assumptions!B25*2)</f>
        <v/>
      </c>
      <c r="AF8" s="156">
        <f>AF6*(Assumptions!B24+Assumptions!B25*2)</f>
        <v/>
      </c>
      <c r="AG8" s="156">
        <f>AG6*(Assumptions!B24+Assumptions!B25*2)</f>
        <v/>
      </c>
      <c r="AH8" s="156">
        <f>AH6*(Assumptions!B24+Assumptions!B25*2)</f>
        <v/>
      </c>
      <c r="AI8" s="156">
        <f>AI6*(Assumptions!B24+Assumptions!B25*2)</f>
        <v/>
      </c>
      <c r="AJ8" s="156">
        <f>AJ6*(Assumptions!B24+Assumptions!B25*2)</f>
        <v/>
      </c>
      <c r="AK8" s="156">
        <f>AK6*(Assumptions!B24+Assumptions!B25*2)</f>
        <v/>
      </c>
      <c r="AL8" s="156">
        <f>AL6*(Assumptions!B24+Assumptions!B25*2)</f>
        <v/>
      </c>
      <c r="AM8" s="156">
        <f>AM6*(Assumptions!B24+Assumptions!B25*3)</f>
        <v/>
      </c>
      <c r="AN8" s="156">
        <f>AN6*(Assumptions!B24+Assumptions!B25*3)</f>
        <v/>
      </c>
      <c r="AO8" s="156">
        <f>AO6*(Assumptions!B24+Assumptions!B25*3)</f>
        <v/>
      </c>
      <c r="AP8" s="156">
        <f>AP6*(Assumptions!B24+Assumptions!B25*3)</f>
        <v/>
      </c>
      <c r="AQ8" s="156">
        <f>AQ6*(Assumptions!B24+Assumptions!B25*3)</f>
        <v/>
      </c>
      <c r="AR8" s="156">
        <f>AR6*(Assumptions!B24+Assumptions!B25*3)</f>
        <v/>
      </c>
      <c r="AS8" s="156">
        <f>AS6*(Assumptions!B24+Assumptions!B25*3)</f>
        <v/>
      </c>
      <c r="AT8" s="156">
        <f>AT6*(Assumptions!B24+Assumptions!B25*3)</f>
        <v/>
      </c>
      <c r="AU8" s="156">
        <f>AU6*(Assumptions!B24+Assumptions!B25*3)</f>
        <v/>
      </c>
      <c r="AV8" s="156">
        <f>AV6*(Assumptions!B24+Assumptions!B25*3)</f>
        <v/>
      </c>
      <c r="AW8" s="156">
        <f>AW6*(Assumptions!B24+Assumptions!B25*3)</f>
        <v/>
      </c>
      <c r="AX8" s="156">
        <f>AX6*(Assumptions!B24+Assumptions!B25*3)</f>
        <v/>
      </c>
      <c r="AY8" s="156">
        <f>AY6*(Assumptions!B24+Assumptions!B25*4)</f>
        <v/>
      </c>
      <c r="AZ8" s="156">
        <f>AZ6*(Assumptions!B24+Assumptions!B25*4)</f>
        <v/>
      </c>
      <c r="BA8" s="156">
        <f>BA6*(Assumptions!B24+Assumptions!B25*4)</f>
        <v/>
      </c>
      <c r="BB8" s="156">
        <f>BB6*(Assumptions!B24+Assumptions!B25*4)</f>
        <v/>
      </c>
      <c r="BC8" s="156">
        <f>BC6*(Assumptions!B24+Assumptions!B25*4)</f>
        <v/>
      </c>
      <c r="BD8" s="156">
        <f>BD6*(Assumptions!B24+Assumptions!B25*4)</f>
        <v/>
      </c>
      <c r="BE8" s="156">
        <f>BE6*(Assumptions!B24+Assumptions!B25*4)</f>
        <v/>
      </c>
      <c r="BF8" s="156">
        <f>BF6*(Assumptions!B24+Assumptions!B25*4)</f>
        <v/>
      </c>
      <c r="BG8" s="156">
        <f>BG6*(Assumptions!B24+Assumptions!B25*4)</f>
        <v/>
      </c>
      <c r="BH8" s="156">
        <f>BH6*(Assumptions!B24+Assumptions!B25*4)</f>
        <v/>
      </c>
      <c r="BI8" s="156">
        <f>BI6*(Assumptions!B24+Assumptions!B25*4)</f>
        <v/>
      </c>
      <c r="BJ8" s="156">
        <f>BJ6*(Assumptions!B24+Assumptions!B25*4)</f>
        <v/>
      </c>
      <c r="BL8" s="157">
        <f>C8+D8+E8+F8+G8+H8+I8+J8+K8+L8+M8+N8</f>
        <v/>
      </c>
      <c r="BM8" s="157">
        <f>O8+P8+Q8+R8+S8+T8+U8+V8+W8+X8+Y8+Z8</f>
        <v/>
      </c>
      <c r="BN8" s="157">
        <f>AA8+AB8+AC8+AD8+AE8+AF8+AG8+AH8+AI8+AJ8+AK8+AL8</f>
        <v/>
      </c>
      <c r="BO8" s="157">
        <f>AM8+AN8+AO8+AP8+AQ8+AR8+AS8+AT8+AU8+AV8+AW8+AX8</f>
        <v/>
      </c>
      <c r="BP8" s="157">
        <f>AY8+AZ8+BA8+BB8+BC8+BD8+BE8+BF8+BG8+BH8+BI8+BJ8</f>
        <v/>
      </c>
    </row>
    <row r="9" ht="15" customHeight="1" s="104">
      <c r="A9" s="215" t="inlineStr">
        <is>
          <t xml:space="preserve">    % of Revenue</t>
        </is>
      </c>
      <c r="C9" s="216">
        <f>IF(C6=0,0,C8/C6)</f>
        <v/>
      </c>
      <c r="D9" s="216">
        <f>IF(D6=0,0,D8/D6)</f>
        <v/>
      </c>
      <c r="E9" s="216">
        <f>IF(E6=0,0,E8/E6)</f>
        <v/>
      </c>
      <c r="F9" s="216">
        <f>IF(F6=0,0,F8/F6)</f>
        <v/>
      </c>
      <c r="G9" s="216">
        <f>IF(G6=0,0,G8/G6)</f>
        <v/>
      </c>
      <c r="H9" s="216">
        <f>IF(H6=0,0,H8/H6)</f>
        <v/>
      </c>
      <c r="I9" s="216">
        <f>IF(I6=0,0,I8/I6)</f>
        <v/>
      </c>
      <c r="J9" s="216">
        <f>IF(J6=0,0,J8/J6)</f>
        <v/>
      </c>
      <c r="K9" s="216">
        <f>IF(K6=0,0,K8/K6)</f>
        <v/>
      </c>
      <c r="L9" s="216">
        <f>IF(L6=0,0,L8/L6)</f>
        <v/>
      </c>
      <c r="M9" s="216">
        <f>IF(M6=0,0,M8/M6)</f>
        <v/>
      </c>
      <c r="N9" s="216">
        <f>IF(N6=0,0,N8/N6)</f>
        <v/>
      </c>
      <c r="O9" s="216">
        <f>IF(O6=0,0,O8/O6)</f>
        <v/>
      </c>
      <c r="P9" s="216">
        <f>IF(P6=0,0,P8/P6)</f>
        <v/>
      </c>
      <c r="Q9" s="216">
        <f>IF(Q6=0,0,Q8/Q6)</f>
        <v/>
      </c>
      <c r="R9" s="216">
        <f>IF(R6=0,0,R8/R6)</f>
        <v/>
      </c>
      <c r="S9" s="216">
        <f>IF(S6=0,0,S8/S6)</f>
        <v/>
      </c>
      <c r="T9" s="216">
        <f>IF(T6=0,0,T8/T6)</f>
        <v/>
      </c>
      <c r="U9" s="216">
        <f>IF(U6=0,0,U8/U6)</f>
        <v/>
      </c>
      <c r="V9" s="216">
        <f>IF(V6=0,0,V8/V6)</f>
        <v/>
      </c>
      <c r="W9" s="216">
        <f>IF(W6=0,0,W8/W6)</f>
        <v/>
      </c>
      <c r="X9" s="216">
        <f>IF(X6=0,0,X8/X6)</f>
        <v/>
      </c>
      <c r="Y9" s="216">
        <f>IF(Y6=0,0,Y8/Y6)</f>
        <v/>
      </c>
      <c r="Z9" s="216">
        <f>IF(Z6=0,0,Z8/Z6)</f>
        <v/>
      </c>
      <c r="AA9" s="216">
        <f>IF(AA6=0,0,AA8/AA6)</f>
        <v/>
      </c>
      <c r="AB9" s="216">
        <f>IF(AB6=0,0,AB8/AB6)</f>
        <v/>
      </c>
      <c r="AC9" s="216">
        <f>IF(AC6=0,0,AC8/AC6)</f>
        <v/>
      </c>
      <c r="AD9" s="216">
        <f>IF(AD6=0,0,AD8/AD6)</f>
        <v/>
      </c>
      <c r="AE9" s="216">
        <f>IF(AE6=0,0,AE8/AE6)</f>
        <v/>
      </c>
      <c r="AF9" s="216">
        <f>IF(AF6=0,0,AF8/AF6)</f>
        <v/>
      </c>
      <c r="AG9" s="216">
        <f>IF(AG6=0,0,AG8/AG6)</f>
        <v/>
      </c>
      <c r="AH9" s="216">
        <f>IF(AH6=0,0,AH8/AH6)</f>
        <v/>
      </c>
      <c r="AI9" s="216">
        <f>IF(AI6=0,0,AI8/AI6)</f>
        <v/>
      </c>
      <c r="AJ9" s="216">
        <f>IF(AJ6=0,0,AJ8/AJ6)</f>
        <v/>
      </c>
      <c r="AK9" s="216">
        <f>IF(AK6=0,0,AK8/AK6)</f>
        <v/>
      </c>
      <c r="AL9" s="216">
        <f>IF(AL6=0,0,AL8/AL6)</f>
        <v/>
      </c>
      <c r="AM9" s="216">
        <f>IF(AM6=0,0,AM8/AM6)</f>
        <v/>
      </c>
      <c r="AN9" s="216">
        <f>IF(AN6=0,0,AN8/AN6)</f>
        <v/>
      </c>
      <c r="AO9" s="216">
        <f>IF(AO6=0,0,AO8/AO6)</f>
        <v/>
      </c>
      <c r="AP9" s="216">
        <f>IF(AP6=0,0,AP8/AP6)</f>
        <v/>
      </c>
      <c r="AQ9" s="216">
        <f>IF(AQ6=0,0,AQ8/AQ6)</f>
        <v/>
      </c>
      <c r="AR9" s="216">
        <f>IF(AR6=0,0,AR8/AR6)</f>
        <v/>
      </c>
      <c r="AS9" s="216">
        <f>IF(AS6=0,0,AS8/AS6)</f>
        <v/>
      </c>
      <c r="AT9" s="216">
        <f>IF(AT6=0,0,AT8/AT6)</f>
        <v/>
      </c>
      <c r="AU9" s="216">
        <f>IF(AU6=0,0,AU8/AU6)</f>
        <v/>
      </c>
      <c r="AV9" s="216">
        <f>IF(AV6=0,0,AV8/AV6)</f>
        <v/>
      </c>
      <c r="AW9" s="216">
        <f>IF(AW6=0,0,AW8/AW6)</f>
        <v/>
      </c>
      <c r="AX9" s="216">
        <f>IF(AX6=0,0,AX8/AX6)</f>
        <v/>
      </c>
      <c r="AY9" s="216">
        <f>IF(AY6=0,0,AY8/AY6)</f>
        <v/>
      </c>
      <c r="AZ9" s="216">
        <f>IF(AZ6=0,0,AZ8/AZ6)</f>
        <v/>
      </c>
      <c r="BA9" s="216">
        <f>IF(BA6=0,0,BA8/BA6)</f>
        <v/>
      </c>
      <c r="BB9" s="216">
        <f>IF(BB6=0,0,BB8/BB6)</f>
        <v/>
      </c>
      <c r="BC9" s="216">
        <f>IF(BC6=0,0,BC8/BC6)</f>
        <v/>
      </c>
      <c r="BD9" s="216">
        <f>IF(BD6=0,0,BD8/BD6)</f>
        <v/>
      </c>
      <c r="BE9" s="216">
        <f>IF(BE6=0,0,BE8/BE6)</f>
        <v/>
      </c>
      <c r="BF9" s="216">
        <f>IF(BF6=0,0,BF8/BF6)</f>
        <v/>
      </c>
      <c r="BG9" s="216">
        <f>IF(BG6=0,0,BG8/BG6)</f>
        <v/>
      </c>
      <c r="BH9" s="216">
        <f>IF(BH6=0,0,BH8/BH6)</f>
        <v/>
      </c>
      <c r="BI9" s="216">
        <f>IF(BI6=0,0,BI8/BI6)</f>
        <v/>
      </c>
      <c r="BJ9" s="216">
        <f>IF(BJ6=0,0,BJ8/BJ6)</f>
        <v/>
      </c>
      <c r="BL9" s="217">
        <f>IF((C6+D6+E6+F6+G6+H6+I6+J6+K6+L6+M6+N6)=0,0,(C8+D8+E8+F8+G8+H8+I8+J8+K8+L8+M8+N8)/(C6+D6+E6+F6+G6+H6+I6+J6+K6+L6+M6+N6))</f>
        <v/>
      </c>
      <c r="BM9" s="217">
        <f>IF((O6+P6+Q6+R6+S6+T6+U6+V6+W6+X6+Y6+Z6)=0,0,(O8+P8+Q8+R8+S8+T8+U8+V8+W8+X8+Y8+Z8)/(O6+P6+Q6+R6+S6+T6+U6+V6+W6+X6+Y6+Z6))</f>
        <v/>
      </c>
      <c r="BN9" s="217">
        <f>IF((AA6+AB6+AC6+AD6+AE6+AF6+AG6+AH6+AI6+AJ6+AK6+AL6)=0,0,(AA8+AB8+AC8+AD8+AE8+AF8+AG8+AH8+AI8+AJ8+AK8+AL8)/(AA6+AB6+AC6+AD6+AE6+AF6+AG6+AH6+AI6+AJ6+AK6+AL6))</f>
        <v/>
      </c>
      <c r="BO9" s="217">
        <f>IF((AM6+AN6+AO6+AP6+AQ6+AR6+AS6+AT6+AU6+AV6+AW6+AX6)=0,0,(AM8+AN8+AO8+AP8+AQ8+AR8+AS8+AT8+AU8+AV8+AW8+AX8)/(AM6+AN6+AO6+AP6+AQ6+AR6+AS6+AT6+AU6+AV6+AW6+AX6))</f>
        <v/>
      </c>
      <c r="BP9" s="217">
        <f>IF((AY6+AZ6+BA6+BB6+BC6+BD6+BE6+BF6+BG6+BH6+BI6+BJ6)=0,0,(AY8+AZ8+BA8+BB8+BC8+BD8+BE8+BF8+BG8+BH8+BI8+BJ8)/(AY6+AZ6+BA6+BB6+BC6+BD6+BE6+BF6+BG6+BH6+BI6+BJ6))</f>
        <v/>
      </c>
    </row>
    <row r="10" ht="15" customHeight="1" s="104">
      <c r="A10" s="107" t="inlineStr">
        <is>
          <t>Staff Compensation</t>
        </is>
      </c>
      <c r="C10" s="156">
        <f>C6*(Assumptions!B26+Assumptions!B27*0)</f>
        <v/>
      </c>
      <c r="D10" s="156">
        <f>D6*(Assumptions!B26+Assumptions!B27*0)</f>
        <v/>
      </c>
      <c r="E10" s="156">
        <f>E6*(Assumptions!B26+Assumptions!B27*0)</f>
        <v/>
      </c>
      <c r="F10" s="156">
        <f>F6*(Assumptions!B26+Assumptions!B27*0)</f>
        <v/>
      </c>
      <c r="G10" s="156">
        <f>G6*(Assumptions!B26+Assumptions!B27*0)</f>
        <v/>
      </c>
      <c r="H10" s="156">
        <f>H6*(Assumptions!B26+Assumptions!B27*0)</f>
        <v/>
      </c>
      <c r="I10" s="156">
        <f>I6*(Assumptions!B26+Assumptions!B27*0)</f>
        <v/>
      </c>
      <c r="J10" s="156">
        <f>J6*(Assumptions!B26+Assumptions!B27*0)</f>
        <v/>
      </c>
      <c r="K10" s="156">
        <f>K6*(Assumptions!B26+Assumptions!B27*0)</f>
        <v/>
      </c>
      <c r="L10" s="156">
        <f>L6*(Assumptions!B26+Assumptions!B27*0)</f>
        <v/>
      </c>
      <c r="M10" s="156">
        <f>M6*(Assumptions!B26+Assumptions!B27*0)</f>
        <v/>
      </c>
      <c r="N10" s="156">
        <f>N6*(Assumptions!B26+Assumptions!B27*0)</f>
        <v/>
      </c>
      <c r="O10" s="156">
        <f>O6*(Assumptions!B26+Assumptions!B27*1)</f>
        <v/>
      </c>
      <c r="P10" s="156">
        <f>P6*(Assumptions!B26+Assumptions!B27*1)</f>
        <v/>
      </c>
      <c r="Q10" s="156">
        <f>Q6*(Assumptions!B26+Assumptions!B27*1)</f>
        <v/>
      </c>
      <c r="R10" s="156">
        <f>R6*(Assumptions!B26+Assumptions!B27*1)</f>
        <v/>
      </c>
      <c r="S10" s="156">
        <f>S6*(Assumptions!B26+Assumptions!B27*1)</f>
        <v/>
      </c>
      <c r="T10" s="156">
        <f>T6*(Assumptions!B26+Assumptions!B27*1)</f>
        <v/>
      </c>
      <c r="U10" s="156">
        <f>U6*(Assumptions!B26+Assumptions!B27*1)</f>
        <v/>
      </c>
      <c r="V10" s="156">
        <f>V6*(Assumptions!B26+Assumptions!B27*1)</f>
        <v/>
      </c>
      <c r="W10" s="156">
        <f>W6*(Assumptions!B26+Assumptions!B27*1)</f>
        <v/>
      </c>
      <c r="X10" s="156">
        <f>X6*(Assumptions!B26+Assumptions!B27*1)</f>
        <v/>
      </c>
      <c r="Y10" s="156">
        <f>Y6*(Assumptions!B26+Assumptions!B27*1)</f>
        <v/>
      </c>
      <c r="Z10" s="156">
        <f>Z6*(Assumptions!B26+Assumptions!B27*1)</f>
        <v/>
      </c>
      <c r="AA10" s="156">
        <f>AA6*(Assumptions!B26+Assumptions!B27*2)</f>
        <v/>
      </c>
      <c r="AB10" s="156">
        <f>AB6*(Assumptions!B26+Assumptions!B27*2)</f>
        <v/>
      </c>
      <c r="AC10" s="156">
        <f>AC6*(Assumptions!B26+Assumptions!B27*2)</f>
        <v/>
      </c>
      <c r="AD10" s="156">
        <f>AD6*(Assumptions!B26+Assumptions!B27*2)</f>
        <v/>
      </c>
      <c r="AE10" s="156">
        <f>AE6*(Assumptions!B26+Assumptions!B27*2)</f>
        <v/>
      </c>
      <c r="AF10" s="156">
        <f>AF6*(Assumptions!B26+Assumptions!B27*2)</f>
        <v/>
      </c>
      <c r="AG10" s="156">
        <f>AG6*(Assumptions!B26+Assumptions!B27*2)</f>
        <v/>
      </c>
      <c r="AH10" s="156">
        <f>AH6*(Assumptions!B26+Assumptions!B27*2)</f>
        <v/>
      </c>
      <c r="AI10" s="156">
        <f>AI6*(Assumptions!B26+Assumptions!B27*2)</f>
        <v/>
      </c>
      <c r="AJ10" s="156">
        <f>AJ6*(Assumptions!B26+Assumptions!B27*2)</f>
        <v/>
      </c>
      <c r="AK10" s="156">
        <f>AK6*(Assumptions!B26+Assumptions!B27*2)</f>
        <v/>
      </c>
      <c r="AL10" s="156">
        <f>AL6*(Assumptions!B26+Assumptions!B27*2)</f>
        <v/>
      </c>
      <c r="AM10" s="156">
        <f>AM6*(Assumptions!B26+Assumptions!B27*3)</f>
        <v/>
      </c>
      <c r="AN10" s="156">
        <f>AN6*(Assumptions!B26+Assumptions!B27*3)</f>
        <v/>
      </c>
      <c r="AO10" s="156">
        <f>AO6*(Assumptions!B26+Assumptions!B27*3)</f>
        <v/>
      </c>
      <c r="AP10" s="156">
        <f>AP6*(Assumptions!B26+Assumptions!B27*3)</f>
        <v/>
      </c>
      <c r="AQ10" s="156">
        <f>AQ6*(Assumptions!B26+Assumptions!B27*3)</f>
        <v/>
      </c>
      <c r="AR10" s="156">
        <f>AR6*(Assumptions!B26+Assumptions!B27*3)</f>
        <v/>
      </c>
      <c r="AS10" s="156">
        <f>AS6*(Assumptions!B26+Assumptions!B27*3)</f>
        <v/>
      </c>
      <c r="AT10" s="156">
        <f>AT6*(Assumptions!B26+Assumptions!B27*3)</f>
        <v/>
      </c>
      <c r="AU10" s="156">
        <f>AU6*(Assumptions!B26+Assumptions!B27*3)</f>
        <v/>
      </c>
      <c r="AV10" s="156">
        <f>AV6*(Assumptions!B26+Assumptions!B27*3)</f>
        <v/>
      </c>
      <c r="AW10" s="156">
        <f>AW6*(Assumptions!B26+Assumptions!B27*3)</f>
        <v/>
      </c>
      <c r="AX10" s="156">
        <f>AX6*(Assumptions!B26+Assumptions!B27*3)</f>
        <v/>
      </c>
      <c r="AY10" s="156">
        <f>AY6*(Assumptions!B26+Assumptions!B27*4)</f>
        <v/>
      </c>
      <c r="AZ10" s="156">
        <f>AZ6*(Assumptions!B26+Assumptions!B27*4)</f>
        <v/>
      </c>
      <c r="BA10" s="156">
        <f>BA6*(Assumptions!B26+Assumptions!B27*4)</f>
        <v/>
      </c>
      <c r="BB10" s="156">
        <f>BB6*(Assumptions!B26+Assumptions!B27*4)</f>
        <v/>
      </c>
      <c r="BC10" s="156">
        <f>BC6*(Assumptions!B26+Assumptions!B27*4)</f>
        <v/>
      </c>
      <c r="BD10" s="156">
        <f>BD6*(Assumptions!B26+Assumptions!B27*4)</f>
        <v/>
      </c>
      <c r="BE10" s="156">
        <f>BE6*(Assumptions!B26+Assumptions!B27*4)</f>
        <v/>
      </c>
      <c r="BF10" s="156">
        <f>BF6*(Assumptions!B26+Assumptions!B27*4)</f>
        <v/>
      </c>
      <c r="BG10" s="156">
        <f>BG6*(Assumptions!B26+Assumptions!B27*4)</f>
        <v/>
      </c>
      <c r="BH10" s="156">
        <f>BH6*(Assumptions!B26+Assumptions!B27*4)</f>
        <v/>
      </c>
      <c r="BI10" s="156">
        <f>BI6*(Assumptions!B26+Assumptions!B27*4)</f>
        <v/>
      </c>
      <c r="BJ10" s="156">
        <f>BJ6*(Assumptions!B26+Assumptions!B27*4)</f>
        <v/>
      </c>
      <c r="BL10" s="157">
        <f>C10+D10+E10+F10+G10+H10+I10+J10+K10+L10+M10+N10</f>
        <v/>
      </c>
      <c r="BM10" s="157">
        <f>O10+P10+Q10+R10+S10+T10+U10+V10+W10+X10+Y10+Z10</f>
        <v/>
      </c>
      <c r="BN10" s="157">
        <f>AA10+AB10+AC10+AD10+AE10+AF10+AG10+AH10+AI10+AJ10+AK10+AL10</f>
        <v/>
      </c>
      <c r="BO10" s="157">
        <f>AM10+AN10+AO10+AP10+AQ10+AR10+AS10+AT10+AU10+AV10+AW10+AX10</f>
        <v/>
      </c>
      <c r="BP10" s="157">
        <f>AY10+AZ10+BA10+BB10+BC10+BD10+BE10+BF10+BG10+BH10+BI10+BJ10</f>
        <v/>
      </c>
    </row>
    <row r="11" ht="15" customHeight="1" s="104">
      <c r="A11" s="215" t="inlineStr">
        <is>
          <t xml:space="preserve">    % of Revenue</t>
        </is>
      </c>
      <c r="C11" s="216">
        <f>IF(C6=0,0,C10/C6)</f>
        <v/>
      </c>
      <c r="D11" s="216">
        <f>IF(D6=0,0,D10/D6)</f>
        <v/>
      </c>
      <c r="E11" s="216">
        <f>IF(E6=0,0,E10/E6)</f>
        <v/>
      </c>
      <c r="F11" s="216">
        <f>IF(F6=0,0,F10/F6)</f>
        <v/>
      </c>
      <c r="G11" s="216">
        <f>IF(G6=0,0,G10/G6)</f>
        <v/>
      </c>
      <c r="H11" s="216">
        <f>IF(H6=0,0,H10/H6)</f>
        <v/>
      </c>
      <c r="I11" s="216">
        <f>IF(I6=0,0,I10/I6)</f>
        <v/>
      </c>
      <c r="J11" s="216">
        <f>IF(J6=0,0,J10/J6)</f>
        <v/>
      </c>
      <c r="K11" s="216">
        <f>IF(K6=0,0,K10/K6)</f>
        <v/>
      </c>
      <c r="L11" s="216">
        <f>IF(L6=0,0,L10/L6)</f>
        <v/>
      </c>
      <c r="M11" s="216">
        <f>IF(M6=0,0,M10/M6)</f>
        <v/>
      </c>
      <c r="N11" s="216">
        <f>IF(N6=0,0,N10/N6)</f>
        <v/>
      </c>
      <c r="O11" s="216">
        <f>IF(O6=0,0,O10/O6)</f>
        <v/>
      </c>
      <c r="P11" s="216">
        <f>IF(P6=0,0,P10/P6)</f>
        <v/>
      </c>
      <c r="Q11" s="216">
        <f>IF(Q6=0,0,Q10/Q6)</f>
        <v/>
      </c>
      <c r="R11" s="216">
        <f>IF(R6=0,0,R10/R6)</f>
        <v/>
      </c>
      <c r="S11" s="216">
        <f>IF(S6=0,0,S10/S6)</f>
        <v/>
      </c>
      <c r="T11" s="216">
        <f>IF(T6=0,0,T10/T6)</f>
        <v/>
      </c>
      <c r="U11" s="216">
        <f>IF(U6=0,0,U10/U6)</f>
        <v/>
      </c>
      <c r="V11" s="216">
        <f>IF(V6=0,0,V10/V6)</f>
        <v/>
      </c>
      <c r="W11" s="216">
        <f>IF(W6=0,0,W10/W6)</f>
        <v/>
      </c>
      <c r="X11" s="216">
        <f>IF(X6=0,0,X10/X6)</f>
        <v/>
      </c>
      <c r="Y11" s="216">
        <f>IF(Y6=0,0,Y10/Y6)</f>
        <v/>
      </c>
      <c r="Z11" s="216">
        <f>IF(Z6=0,0,Z10/Z6)</f>
        <v/>
      </c>
      <c r="AA11" s="216">
        <f>IF(AA6=0,0,AA10/AA6)</f>
        <v/>
      </c>
      <c r="AB11" s="216">
        <f>IF(AB6=0,0,AB10/AB6)</f>
        <v/>
      </c>
      <c r="AC11" s="216">
        <f>IF(AC6=0,0,AC10/AC6)</f>
        <v/>
      </c>
      <c r="AD11" s="216">
        <f>IF(AD6=0,0,AD10/AD6)</f>
        <v/>
      </c>
      <c r="AE11" s="216">
        <f>IF(AE6=0,0,AE10/AE6)</f>
        <v/>
      </c>
      <c r="AF11" s="216">
        <f>IF(AF6=0,0,AF10/AF6)</f>
        <v/>
      </c>
      <c r="AG11" s="216">
        <f>IF(AG6=0,0,AG10/AG6)</f>
        <v/>
      </c>
      <c r="AH11" s="216">
        <f>IF(AH6=0,0,AH10/AH6)</f>
        <v/>
      </c>
      <c r="AI11" s="216">
        <f>IF(AI6=0,0,AI10/AI6)</f>
        <v/>
      </c>
      <c r="AJ11" s="216">
        <f>IF(AJ6=0,0,AJ10/AJ6)</f>
        <v/>
      </c>
      <c r="AK11" s="216">
        <f>IF(AK6=0,0,AK10/AK6)</f>
        <v/>
      </c>
      <c r="AL11" s="216">
        <f>IF(AL6=0,0,AL10/AL6)</f>
        <v/>
      </c>
      <c r="AM11" s="216">
        <f>IF(AM6=0,0,AM10/AM6)</f>
        <v/>
      </c>
      <c r="AN11" s="216">
        <f>IF(AN6=0,0,AN10/AN6)</f>
        <v/>
      </c>
      <c r="AO11" s="216">
        <f>IF(AO6=0,0,AO10/AO6)</f>
        <v/>
      </c>
      <c r="AP11" s="216">
        <f>IF(AP6=0,0,AP10/AP6)</f>
        <v/>
      </c>
      <c r="AQ11" s="216">
        <f>IF(AQ6=0,0,AQ10/AQ6)</f>
        <v/>
      </c>
      <c r="AR11" s="216">
        <f>IF(AR6=0,0,AR10/AR6)</f>
        <v/>
      </c>
      <c r="AS11" s="216">
        <f>IF(AS6=0,0,AS10/AS6)</f>
        <v/>
      </c>
      <c r="AT11" s="216">
        <f>IF(AT6=0,0,AT10/AT6)</f>
        <v/>
      </c>
      <c r="AU11" s="216">
        <f>IF(AU6=0,0,AU10/AU6)</f>
        <v/>
      </c>
      <c r="AV11" s="216">
        <f>IF(AV6=0,0,AV10/AV6)</f>
        <v/>
      </c>
      <c r="AW11" s="216">
        <f>IF(AW6=0,0,AW10/AW6)</f>
        <v/>
      </c>
      <c r="AX11" s="216">
        <f>IF(AX6=0,0,AX10/AX6)</f>
        <v/>
      </c>
      <c r="AY11" s="216">
        <f>IF(AY6=0,0,AY10/AY6)</f>
        <v/>
      </c>
      <c r="AZ11" s="216">
        <f>IF(AZ6=0,0,AZ10/AZ6)</f>
        <v/>
      </c>
      <c r="BA11" s="216">
        <f>IF(BA6=0,0,BA10/BA6)</f>
        <v/>
      </c>
      <c r="BB11" s="216">
        <f>IF(BB6=0,0,BB10/BB6)</f>
        <v/>
      </c>
      <c r="BC11" s="216">
        <f>IF(BC6=0,0,BC10/BC6)</f>
        <v/>
      </c>
      <c r="BD11" s="216">
        <f>IF(BD6=0,0,BD10/BD6)</f>
        <v/>
      </c>
      <c r="BE11" s="216">
        <f>IF(BE6=0,0,BE10/BE6)</f>
        <v/>
      </c>
      <c r="BF11" s="216">
        <f>IF(BF6=0,0,BF10/BF6)</f>
        <v/>
      </c>
      <c r="BG11" s="216">
        <f>IF(BG6=0,0,BG10/BG6)</f>
        <v/>
      </c>
      <c r="BH11" s="216">
        <f>IF(BH6=0,0,BH10/BH6)</f>
        <v/>
      </c>
      <c r="BI11" s="216">
        <f>IF(BI6=0,0,BI10/BI6)</f>
        <v/>
      </c>
      <c r="BJ11" s="216">
        <f>IF(BJ6=0,0,BJ10/BJ6)</f>
        <v/>
      </c>
      <c r="BL11" s="217">
        <f>IF((C6+D6+E6+F6+G6+H6+I6+J6+K6+L6+M6+N6)=0,0,(C10+D10+E10+F10+G10+H10+I10+J10+K10+L10+M10+N10)/(C6+D6+E6+F6+G6+H6+I6+J6+K6+L6+M6+N6))</f>
        <v/>
      </c>
      <c r="BM11" s="217">
        <f>IF((O6+P6+Q6+R6+S6+T6+U6+V6+W6+X6+Y6+Z6)=0,0,(O10+P10+Q10+R10+S10+T10+U10+V10+W10+X10+Y10+Z10)/(O6+P6+Q6+R6+S6+T6+U6+V6+W6+X6+Y6+Z6))</f>
        <v/>
      </c>
      <c r="BN11" s="217">
        <f>IF((AA6+AB6+AC6+AD6+AE6+AF6+AG6+AH6+AI6+AJ6+AK6+AL6)=0,0,(AA10+AB10+AC10+AD10+AE10+AF10+AG10+AH10+AI10+AJ10+AK10+AL10)/(AA6+AB6+AC6+AD6+AE6+AF6+AG6+AH6+AI6+AJ6+AK6+AL6))</f>
        <v/>
      </c>
      <c r="BO11" s="217">
        <f>IF((AM6+AN6+AO6+AP6+AQ6+AR6+AS6+AT6+AU6+AV6+AW6+AX6)=0,0,(AM10+AN10+AO10+AP10+AQ10+AR10+AS10+AT10+AU10+AV10+AW10+AX10)/(AM6+AN6+AO6+AP6+AQ6+AR6+AS6+AT6+AU6+AV6+AW6+AX6))</f>
        <v/>
      </c>
      <c r="BP11" s="217">
        <f>IF((AY6+AZ6+BA6+BB6+BC6+BD6+BE6+BF6+BG6+BH6+BI6+BJ6)=0,0,(AY10+AZ10+BA10+BB10+BC10+BD10+BE10+BF10+BG10+BH10+BI10+BJ10)/(AY6+AZ6+BA6+BB6+BC6+BD6+BE6+BF6+BG6+BH6+BI6+BJ6))</f>
        <v/>
      </c>
    </row>
    <row r="12" ht="15" customHeight="1" s="104">
      <c r="A12" s="107" t="inlineStr">
        <is>
          <t>Occupancy &amp; Facilities</t>
        </is>
      </c>
      <c r="C12" s="156">
        <f>C6*(Assumptions!B28+Assumptions!B29*0)</f>
        <v/>
      </c>
      <c r="D12" s="156">
        <f>D6*(Assumptions!B28+Assumptions!B29*0)</f>
        <v/>
      </c>
      <c r="E12" s="156">
        <f>E6*(Assumptions!B28+Assumptions!B29*0)</f>
        <v/>
      </c>
      <c r="F12" s="156">
        <f>F6*(Assumptions!B28+Assumptions!B29*0)</f>
        <v/>
      </c>
      <c r="G12" s="156">
        <f>G6*(Assumptions!B28+Assumptions!B29*0)</f>
        <v/>
      </c>
      <c r="H12" s="156">
        <f>H6*(Assumptions!B28+Assumptions!B29*0)</f>
        <v/>
      </c>
      <c r="I12" s="156">
        <f>I6*(Assumptions!B28+Assumptions!B29*0)</f>
        <v/>
      </c>
      <c r="J12" s="156">
        <f>J6*(Assumptions!B28+Assumptions!B29*0)</f>
        <v/>
      </c>
      <c r="K12" s="156">
        <f>K6*(Assumptions!B28+Assumptions!B29*0)</f>
        <v/>
      </c>
      <c r="L12" s="156">
        <f>L6*(Assumptions!B28+Assumptions!B29*0)</f>
        <v/>
      </c>
      <c r="M12" s="156">
        <f>M6*(Assumptions!B28+Assumptions!B29*0)</f>
        <v/>
      </c>
      <c r="N12" s="156">
        <f>N6*(Assumptions!B28+Assumptions!B29*0)</f>
        <v/>
      </c>
      <c r="O12" s="156">
        <f>O6*(Assumptions!B28+Assumptions!B29*1)</f>
        <v/>
      </c>
      <c r="P12" s="156">
        <f>P6*(Assumptions!B28+Assumptions!B29*1)</f>
        <v/>
      </c>
      <c r="Q12" s="156">
        <f>Q6*(Assumptions!B28+Assumptions!B29*1)</f>
        <v/>
      </c>
      <c r="R12" s="156">
        <f>R6*(Assumptions!B28+Assumptions!B29*1)</f>
        <v/>
      </c>
      <c r="S12" s="156">
        <f>S6*(Assumptions!B28+Assumptions!B29*1)</f>
        <v/>
      </c>
      <c r="T12" s="156">
        <f>T6*(Assumptions!B28+Assumptions!B29*1)</f>
        <v/>
      </c>
      <c r="U12" s="156">
        <f>U6*(Assumptions!B28+Assumptions!B29*1)</f>
        <v/>
      </c>
      <c r="V12" s="156">
        <f>V6*(Assumptions!B28+Assumptions!B29*1)</f>
        <v/>
      </c>
      <c r="W12" s="156">
        <f>W6*(Assumptions!B28+Assumptions!B29*1)</f>
        <v/>
      </c>
      <c r="X12" s="156">
        <f>X6*(Assumptions!B28+Assumptions!B29*1)</f>
        <v/>
      </c>
      <c r="Y12" s="156">
        <f>Y6*(Assumptions!B28+Assumptions!B29*1)</f>
        <v/>
      </c>
      <c r="Z12" s="156">
        <f>Z6*(Assumptions!B28+Assumptions!B29*1)</f>
        <v/>
      </c>
      <c r="AA12" s="156">
        <f>AA6*(Assumptions!B28+Assumptions!B29*2)</f>
        <v/>
      </c>
      <c r="AB12" s="156">
        <f>AB6*(Assumptions!B28+Assumptions!B29*2)</f>
        <v/>
      </c>
      <c r="AC12" s="156">
        <f>AC6*(Assumptions!B28+Assumptions!B29*2)</f>
        <v/>
      </c>
      <c r="AD12" s="156">
        <f>AD6*(Assumptions!B28+Assumptions!B29*2)</f>
        <v/>
      </c>
      <c r="AE12" s="156">
        <f>AE6*(Assumptions!B28+Assumptions!B29*2)</f>
        <v/>
      </c>
      <c r="AF12" s="156">
        <f>AF6*(Assumptions!B28+Assumptions!B29*2)</f>
        <v/>
      </c>
      <c r="AG12" s="156">
        <f>AG6*(Assumptions!B28+Assumptions!B29*2)</f>
        <v/>
      </c>
      <c r="AH12" s="156">
        <f>AH6*(Assumptions!B28+Assumptions!B29*2)</f>
        <v/>
      </c>
      <c r="AI12" s="156">
        <f>AI6*(Assumptions!B28+Assumptions!B29*2)</f>
        <v/>
      </c>
      <c r="AJ12" s="156">
        <f>AJ6*(Assumptions!B28+Assumptions!B29*2)</f>
        <v/>
      </c>
      <c r="AK12" s="156">
        <f>AK6*(Assumptions!B28+Assumptions!B29*2)</f>
        <v/>
      </c>
      <c r="AL12" s="156">
        <f>AL6*(Assumptions!B28+Assumptions!B29*2)</f>
        <v/>
      </c>
      <c r="AM12" s="156">
        <f>AM6*(Assumptions!B28+Assumptions!B29*3)</f>
        <v/>
      </c>
      <c r="AN12" s="156">
        <f>AN6*(Assumptions!B28+Assumptions!B29*3)</f>
        <v/>
      </c>
      <c r="AO12" s="156">
        <f>AO6*(Assumptions!B28+Assumptions!B29*3)</f>
        <v/>
      </c>
      <c r="AP12" s="156">
        <f>AP6*(Assumptions!B28+Assumptions!B29*3)</f>
        <v/>
      </c>
      <c r="AQ12" s="156">
        <f>AQ6*(Assumptions!B28+Assumptions!B29*3)</f>
        <v/>
      </c>
      <c r="AR12" s="156">
        <f>AR6*(Assumptions!B28+Assumptions!B29*3)</f>
        <v/>
      </c>
      <c r="AS12" s="156">
        <f>AS6*(Assumptions!B28+Assumptions!B29*3)</f>
        <v/>
      </c>
      <c r="AT12" s="156">
        <f>AT6*(Assumptions!B28+Assumptions!B29*3)</f>
        <v/>
      </c>
      <c r="AU12" s="156">
        <f>AU6*(Assumptions!B28+Assumptions!B29*3)</f>
        <v/>
      </c>
      <c r="AV12" s="156">
        <f>AV6*(Assumptions!B28+Assumptions!B29*3)</f>
        <v/>
      </c>
      <c r="AW12" s="156">
        <f>AW6*(Assumptions!B28+Assumptions!B29*3)</f>
        <v/>
      </c>
      <c r="AX12" s="156">
        <f>AX6*(Assumptions!B28+Assumptions!B29*3)</f>
        <v/>
      </c>
      <c r="AY12" s="156">
        <f>AY6*(Assumptions!B28+Assumptions!B29*4)</f>
        <v/>
      </c>
      <c r="AZ12" s="156">
        <f>AZ6*(Assumptions!B28+Assumptions!B29*4)</f>
        <v/>
      </c>
      <c r="BA12" s="156">
        <f>BA6*(Assumptions!B28+Assumptions!B29*4)</f>
        <v/>
      </c>
      <c r="BB12" s="156">
        <f>BB6*(Assumptions!B28+Assumptions!B29*4)</f>
        <v/>
      </c>
      <c r="BC12" s="156">
        <f>BC6*(Assumptions!B28+Assumptions!B29*4)</f>
        <v/>
      </c>
      <c r="BD12" s="156">
        <f>BD6*(Assumptions!B28+Assumptions!B29*4)</f>
        <v/>
      </c>
      <c r="BE12" s="156">
        <f>BE6*(Assumptions!B28+Assumptions!B29*4)</f>
        <v/>
      </c>
      <c r="BF12" s="156">
        <f>BF6*(Assumptions!B28+Assumptions!B29*4)</f>
        <v/>
      </c>
      <c r="BG12" s="156">
        <f>BG6*(Assumptions!B28+Assumptions!B29*4)</f>
        <v/>
      </c>
      <c r="BH12" s="156">
        <f>BH6*(Assumptions!B28+Assumptions!B29*4)</f>
        <v/>
      </c>
      <c r="BI12" s="156">
        <f>BI6*(Assumptions!B28+Assumptions!B29*4)</f>
        <v/>
      </c>
      <c r="BJ12" s="156">
        <f>BJ6*(Assumptions!B28+Assumptions!B29*4)</f>
        <v/>
      </c>
      <c r="BL12" s="157">
        <f>C12+D12+E12+F12+G12+H12+I12+J12+K12+L12+M12+N12</f>
        <v/>
      </c>
      <c r="BM12" s="157">
        <f>O12+P12+Q12+R12+S12+T12+U12+V12+W12+X12+Y12+Z12</f>
        <v/>
      </c>
      <c r="BN12" s="157">
        <f>AA12+AB12+AC12+AD12+AE12+AF12+AG12+AH12+AI12+AJ12+AK12+AL12</f>
        <v/>
      </c>
      <c r="BO12" s="157">
        <f>AM12+AN12+AO12+AP12+AQ12+AR12+AS12+AT12+AU12+AV12+AW12+AX12</f>
        <v/>
      </c>
      <c r="BP12" s="157">
        <f>AY12+AZ12+BA12+BB12+BC12+BD12+BE12+BF12+BG12+BH12+BI12+BJ12</f>
        <v/>
      </c>
    </row>
    <row r="13" ht="15" customHeight="1" s="104">
      <c r="A13" s="215" t="inlineStr">
        <is>
          <t xml:space="preserve">    % of Revenue</t>
        </is>
      </c>
      <c r="C13" s="216">
        <f>IF(C6=0,0,C12/C6)</f>
        <v/>
      </c>
      <c r="D13" s="216">
        <f>IF(D6=0,0,D12/D6)</f>
        <v/>
      </c>
      <c r="E13" s="216">
        <f>IF(E6=0,0,E12/E6)</f>
        <v/>
      </c>
      <c r="F13" s="216">
        <f>IF(F6=0,0,F12/F6)</f>
        <v/>
      </c>
      <c r="G13" s="216">
        <f>IF(G6=0,0,G12/G6)</f>
        <v/>
      </c>
      <c r="H13" s="216">
        <f>IF(H6=0,0,H12/H6)</f>
        <v/>
      </c>
      <c r="I13" s="216">
        <f>IF(I6=0,0,I12/I6)</f>
        <v/>
      </c>
      <c r="J13" s="216">
        <f>IF(J6=0,0,J12/J6)</f>
        <v/>
      </c>
      <c r="K13" s="216">
        <f>IF(K6=0,0,K12/K6)</f>
        <v/>
      </c>
      <c r="L13" s="216">
        <f>IF(L6=0,0,L12/L6)</f>
        <v/>
      </c>
      <c r="M13" s="216">
        <f>IF(M6=0,0,M12/M6)</f>
        <v/>
      </c>
      <c r="N13" s="216">
        <f>IF(N6=0,0,N12/N6)</f>
        <v/>
      </c>
      <c r="O13" s="216">
        <f>IF(O6=0,0,O12/O6)</f>
        <v/>
      </c>
      <c r="P13" s="216">
        <f>IF(P6=0,0,P12/P6)</f>
        <v/>
      </c>
      <c r="Q13" s="216">
        <f>IF(Q6=0,0,Q12/Q6)</f>
        <v/>
      </c>
      <c r="R13" s="216">
        <f>IF(R6=0,0,R12/R6)</f>
        <v/>
      </c>
      <c r="S13" s="216">
        <f>IF(S6=0,0,S12/S6)</f>
        <v/>
      </c>
      <c r="T13" s="216">
        <f>IF(T6=0,0,T12/T6)</f>
        <v/>
      </c>
      <c r="U13" s="216">
        <f>IF(U6=0,0,U12/U6)</f>
        <v/>
      </c>
      <c r="V13" s="216">
        <f>IF(V6=0,0,V12/V6)</f>
        <v/>
      </c>
      <c r="W13" s="216">
        <f>IF(W6=0,0,W12/W6)</f>
        <v/>
      </c>
      <c r="X13" s="216">
        <f>IF(X6=0,0,X12/X6)</f>
        <v/>
      </c>
      <c r="Y13" s="216">
        <f>IF(Y6=0,0,Y12/Y6)</f>
        <v/>
      </c>
      <c r="Z13" s="216">
        <f>IF(Z6=0,0,Z12/Z6)</f>
        <v/>
      </c>
      <c r="AA13" s="216">
        <f>IF(AA6=0,0,AA12/AA6)</f>
        <v/>
      </c>
      <c r="AB13" s="216">
        <f>IF(AB6=0,0,AB12/AB6)</f>
        <v/>
      </c>
      <c r="AC13" s="216">
        <f>IF(AC6=0,0,AC12/AC6)</f>
        <v/>
      </c>
      <c r="AD13" s="216">
        <f>IF(AD6=0,0,AD12/AD6)</f>
        <v/>
      </c>
      <c r="AE13" s="216">
        <f>IF(AE6=0,0,AE12/AE6)</f>
        <v/>
      </c>
      <c r="AF13" s="216">
        <f>IF(AF6=0,0,AF12/AF6)</f>
        <v/>
      </c>
      <c r="AG13" s="216">
        <f>IF(AG6=0,0,AG12/AG6)</f>
        <v/>
      </c>
      <c r="AH13" s="216">
        <f>IF(AH6=0,0,AH12/AH6)</f>
        <v/>
      </c>
      <c r="AI13" s="216">
        <f>IF(AI6=0,0,AI12/AI6)</f>
        <v/>
      </c>
      <c r="AJ13" s="216">
        <f>IF(AJ6=0,0,AJ12/AJ6)</f>
        <v/>
      </c>
      <c r="AK13" s="216">
        <f>IF(AK6=0,0,AK12/AK6)</f>
        <v/>
      </c>
      <c r="AL13" s="216">
        <f>IF(AL6=0,0,AL12/AL6)</f>
        <v/>
      </c>
      <c r="AM13" s="216">
        <f>IF(AM6=0,0,AM12/AM6)</f>
        <v/>
      </c>
      <c r="AN13" s="216">
        <f>IF(AN6=0,0,AN12/AN6)</f>
        <v/>
      </c>
      <c r="AO13" s="216">
        <f>IF(AO6=0,0,AO12/AO6)</f>
        <v/>
      </c>
      <c r="AP13" s="216">
        <f>IF(AP6=0,0,AP12/AP6)</f>
        <v/>
      </c>
      <c r="AQ13" s="216">
        <f>IF(AQ6=0,0,AQ12/AQ6)</f>
        <v/>
      </c>
      <c r="AR13" s="216">
        <f>IF(AR6=0,0,AR12/AR6)</f>
        <v/>
      </c>
      <c r="AS13" s="216">
        <f>IF(AS6=0,0,AS12/AS6)</f>
        <v/>
      </c>
      <c r="AT13" s="216">
        <f>IF(AT6=0,0,AT12/AT6)</f>
        <v/>
      </c>
      <c r="AU13" s="216">
        <f>IF(AU6=0,0,AU12/AU6)</f>
        <v/>
      </c>
      <c r="AV13" s="216">
        <f>IF(AV6=0,0,AV12/AV6)</f>
        <v/>
      </c>
      <c r="AW13" s="216">
        <f>IF(AW6=0,0,AW12/AW6)</f>
        <v/>
      </c>
      <c r="AX13" s="216">
        <f>IF(AX6=0,0,AX12/AX6)</f>
        <v/>
      </c>
      <c r="AY13" s="216">
        <f>IF(AY6=0,0,AY12/AY6)</f>
        <v/>
      </c>
      <c r="AZ13" s="216">
        <f>IF(AZ6=0,0,AZ12/AZ6)</f>
        <v/>
      </c>
      <c r="BA13" s="216">
        <f>IF(BA6=0,0,BA12/BA6)</f>
        <v/>
      </c>
      <c r="BB13" s="216">
        <f>IF(BB6=0,0,BB12/BB6)</f>
        <v/>
      </c>
      <c r="BC13" s="216">
        <f>IF(BC6=0,0,BC12/BC6)</f>
        <v/>
      </c>
      <c r="BD13" s="216">
        <f>IF(BD6=0,0,BD12/BD6)</f>
        <v/>
      </c>
      <c r="BE13" s="216">
        <f>IF(BE6=0,0,BE12/BE6)</f>
        <v/>
      </c>
      <c r="BF13" s="216">
        <f>IF(BF6=0,0,BF12/BF6)</f>
        <v/>
      </c>
      <c r="BG13" s="216">
        <f>IF(BG6=0,0,BG12/BG6)</f>
        <v/>
      </c>
      <c r="BH13" s="216">
        <f>IF(BH6=0,0,BH12/BH6)</f>
        <v/>
      </c>
      <c r="BI13" s="216">
        <f>IF(BI6=0,0,BI12/BI6)</f>
        <v/>
      </c>
      <c r="BJ13" s="216">
        <f>IF(BJ6=0,0,BJ12/BJ6)</f>
        <v/>
      </c>
      <c r="BL13" s="217">
        <f>IF((C6+D6+E6+F6+G6+H6+I6+J6+K6+L6+M6+N6)=0,0,(C12+D12+E12+F12+G12+H12+I12+J12+K12+L12+M12+N12)/(C6+D6+E6+F6+G6+H6+I6+J6+K6+L6+M6+N6))</f>
        <v/>
      </c>
      <c r="BM13" s="217">
        <f>IF((O6+P6+Q6+R6+S6+T6+U6+V6+W6+X6+Y6+Z6)=0,0,(O12+P12+Q12+R12+S12+T12+U12+V12+W12+X12+Y12+Z12)/(O6+P6+Q6+R6+S6+T6+U6+V6+W6+X6+Y6+Z6))</f>
        <v/>
      </c>
      <c r="BN13" s="217">
        <f>IF((AA6+AB6+AC6+AD6+AE6+AF6+AG6+AH6+AI6+AJ6+AK6+AL6)=0,0,(AA12+AB12+AC12+AD12+AE12+AF12+AG12+AH12+AI12+AJ12+AK12+AL12)/(AA6+AB6+AC6+AD6+AE6+AF6+AG6+AH6+AI6+AJ6+AK6+AL6))</f>
        <v/>
      </c>
      <c r="BO13" s="217">
        <f>IF((AM6+AN6+AO6+AP6+AQ6+AR6+AS6+AT6+AU6+AV6+AW6+AX6)=0,0,(AM12+AN12+AO12+AP12+AQ12+AR12+AS12+AT12+AU12+AV12+AW12+AX12)/(AM6+AN6+AO6+AP6+AQ6+AR6+AS6+AT6+AU6+AV6+AW6+AX6))</f>
        <v/>
      </c>
      <c r="BP13" s="217">
        <f>IF((AY6+AZ6+BA6+BB6+BC6+BD6+BE6+BF6+BG6+BH6+BI6+BJ6)=0,0,(AY12+AZ12+BA12+BB12+BC12+BD12+BE12+BF12+BG12+BH12+BI12+BJ12)/(AY6+AZ6+BA6+BB6+BC6+BD6+BE6+BF6+BG6+BH6+BI6+BJ6))</f>
        <v/>
      </c>
    </row>
    <row r="14" ht="15" customHeight="1" s="104">
      <c r="A14" s="107" t="inlineStr">
        <is>
          <t>Technology &amp; Software</t>
        </is>
      </c>
      <c r="C14" s="156">
        <f>C6*(Assumptions!B30+Assumptions!B31*0)</f>
        <v/>
      </c>
      <c r="D14" s="156">
        <f>D6*(Assumptions!B30+Assumptions!B31*0)</f>
        <v/>
      </c>
      <c r="E14" s="156">
        <f>E6*(Assumptions!B30+Assumptions!B31*0)</f>
        <v/>
      </c>
      <c r="F14" s="156">
        <f>F6*(Assumptions!B30+Assumptions!B31*0)</f>
        <v/>
      </c>
      <c r="G14" s="156">
        <f>G6*(Assumptions!B30+Assumptions!B31*0)</f>
        <v/>
      </c>
      <c r="H14" s="156">
        <f>H6*(Assumptions!B30+Assumptions!B31*0)</f>
        <v/>
      </c>
      <c r="I14" s="156">
        <f>I6*(Assumptions!B30+Assumptions!B31*0)</f>
        <v/>
      </c>
      <c r="J14" s="156">
        <f>J6*(Assumptions!B30+Assumptions!B31*0)</f>
        <v/>
      </c>
      <c r="K14" s="156">
        <f>K6*(Assumptions!B30+Assumptions!B31*0)</f>
        <v/>
      </c>
      <c r="L14" s="156">
        <f>L6*(Assumptions!B30+Assumptions!B31*0)</f>
        <v/>
      </c>
      <c r="M14" s="156">
        <f>M6*(Assumptions!B30+Assumptions!B31*0)</f>
        <v/>
      </c>
      <c r="N14" s="156">
        <f>N6*(Assumptions!B30+Assumptions!B31*0)</f>
        <v/>
      </c>
      <c r="O14" s="156">
        <f>O6*(Assumptions!B30+Assumptions!B31*1)</f>
        <v/>
      </c>
      <c r="P14" s="156">
        <f>P6*(Assumptions!B30+Assumptions!B31*1)</f>
        <v/>
      </c>
      <c r="Q14" s="156">
        <f>Q6*(Assumptions!B30+Assumptions!B31*1)</f>
        <v/>
      </c>
      <c r="R14" s="156">
        <f>R6*(Assumptions!B30+Assumptions!B31*1)</f>
        <v/>
      </c>
      <c r="S14" s="156">
        <f>S6*(Assumptions!B30+Assumptions!B31*1)</f>
        <v/>
      </c>
      <c r="T14" s="156">
        <f>T6*(Assumptions!B30+Assumptions!B31*1)</f>
        <v/>
      </c>
      <c r="U14" s="156">
        <f>U6*(Assumptions!B30+Assumptions!B31*1)</f>
        <v/>
      </c>
      <c r="V14" s="156">
        <f>V6*(Assumptions!B30+Assumptions!B31*1)</f>
        <v/>
      </c>
      <c r="W14" s="156">
        <f>W6*(Assumptions!B30+Assumptions!B31*1)</f>
        <v/>
      </c>
      <c r="X14" s="156">
        <f>X6*(Assumptions!B30+Assumptions!B31*1)</f>
        <v/>
      </c>
      <c r="Y14" s="156">
        <f>Y6*(Assumptions!B30+Assumptions!B31*1)</f>
        <v/>
      </c>
      <c r="Z14" s="156">
        <f>Z6*(Assumptions!B30+Assumptions!B31*1)</f>
        <v/>
      </c>
      <c r="AA14" s="156">
        <f>AA6*(Assumptions!B30+Assumptions!B31*2)</f>
        <v/>
      </c>
      <c r="AB14" s="156">
        <f>AB6*(Assumptions!B30+Assumptions!B31*2)</f>
        <v/>
      </c>
      <c r="AC14" s="156">
        <f>AC6*(Assumptions!B30+Assumptions!B31*2)</f>
        <v/>
      </c>
      <c r="AD14" s="156">
        <f>AD6*(Assumptions!B30+Assumptions!B31*2)</f>
        <v/>
      </c>
      <c r="AE14" s="156">
        <f>AE6*(Assumptions!B30+Assumptions!B31*2)</f>
        <v/>
      </c>
      <c r="AF14" s="156">
        <f>AF6*(Assumptions!B30+Assumptions!B31*2)</f>
        <v/>
      </c>
      <c r="AG14" s="156">
        <f>AG6*(Assumptions!B30+Assumptions!B31*2)</f>
        <v/>
      </c>
      <c r="AH14" s="156">
        <f>AH6*(Assumptions!B30+Assumptions!B31*2)</f>
        <v/>
      </c>
      <c r="AI14" s="156">
        <f>AI6*(Assumptions!B30+Assumptions!B31*2)</f>
        <v/>
      </c>
      <c r="AJ14" s="156">
        <f>AJ6*(Assumptions!B30+Assumptions!B31*2)</f>
        <v/>
      </c>
      <c r="AK14" s="156">
        <f>AK6*(Assumptions!B30+Assumptions!B31*2)</f>
        <v/>
      </c>
      <c r="AL14" s="156">
        <f>AL6*(Assumptions!B30+Assumptions!B31*2)</f>
        <v/>
      </c>
      <c r="AM14" s="156">
        <f>AM6*(Assumptions!B30+Assumptions!B31*3)</f>
        <v/>
      </c>
      <c r="AN14" s="156">
        <f>AN6*(Assumptions!B30+Assumptions!B31*3)</f>
        <v/>
      </c>
      <c r="AO14" s="156">
        <f>AO6*(Assumptions!B30+Assumptions!B31*3)</f>
        <v/>
      </c>
      <c r="AP14" s="156">
        <f>AP6*(Assumptions!B30+Assumptions!B31*3)</f>
        <v/>
      </c>
      <c r="AQ14" s="156">
        <f>AQ6*(Assumptions!B30+Assumptions!B31*3)</f>
        <v/>
      </c>
      <c r="AR14" s="156">
        <f>AR6*(Assumptions!B30+Assumptions!B31*3)</f>
        <v/>
      </c>
      <c r="AS14" s="156">
        <f>AS6*(Assumptions!B30+Assumptions!B31*3)</f>
        <v/>
      </c>
      <c r="AT14" s="156">
        <f>AT6*(Assumptions!B30+Assumptions!B31*3)</f>
        <v/>
      </c>
      <c r="AU14" s="156">
        <f>AU6*(Assumptions!B30+Assumptions!B31*3)</f>
        <v/>
      </c>
      <c r="AV14" s="156">
        <f>AV6*(Assumptions!B30+Assumptions!B31*3)</f>
        <v/>
      </c>
      <c r="AW14" s="156">
        <f>AW6*(Assumptions!B30+Assumptions!B31*3)</f>
        <v/>
      </c>
      <c r="AX14" s="156">
        <f>AX6*(Assumptions!B30+Assumptions!B31*3)</f>
        <v/>
      </c>
      <c r="AY14" s="156">
        <f>AY6*(Assumptions!B30+Assumptions!B31*4)</f>
        <v/>
      </c>
      <c r="AZ14" s="156">
        <f>AZ6*(Assumptions!B30+Assumptions!B31*4)</f>
        <v/>
      </c>
      <c r="BA14" s="156">
        <f>BA6*(Assumptions!B30+Assumptions!B31*4)</f>
        <v/>
      </c>
      <c r="BB14" s="156">
        <f>BB6*(Assumptions!B30+Assumptions!B31*4)</f>
        <v/>
      </c>
      <c r="BC14" s="156">
        <f>BC6*(Assumptions!B30+Assumptions!B31*4)</f>
        <v/>
      </c>
      <c r="BD14" s="156">
        <f>BD6*(Assumptions!B30+Assumptions!B31*4)</f>
        <v/>
      </c>
      <c r="BE14" s="156">
        <f>BE6*(Assumptions!B30+Assumptions!B31*4)</f>
        <v/>
      </c>
      <c r="BF14" s="156">
        <f>BF6*(Assumptions!B30+Assumptions!B31*4)</f>
        <v/>
      </c>
      <c r="BG14" s="156">
        <f>BG6*(Assumptions!B30+Assumptions!B31*4)</f>
        <v/>
      </c>
      <c r="BH14" s="156">
        <f>BH6*(Assumptions!B30+Assumptions!B31*4)</f>
        <v/>
      </c>
      <c r="BI14" s="156">
        <f>BI6*(Assumptions!B30+Assumptions!B31*4)</f>
        <v/>
      </c>
      <c r="BJ14" s="156">
        <f>BJ6*(Assumptions!B30+Assumptions!B31*4)</f>
        <v/>
      </c>
      <c r="BL14" s="157">
        <f>C14+D14+E14+F14+G14+H14+I14+J14+K14+L14+M14+N14</f>
        <v/>
      </c>
      <c r="BM14" s="157">
        <f>O14+P14+Q14+R14+S14+T14+U14+V14+W14+X14+Y14+Z14</f>
        <v/>
      </c>
      <c r="BN14" s="157">
        <f>AA14+AB14+AC14+AD14+AE14+AF14+AG14+AH14+AI14+AJ14+AK14+AL14</f>
        <v/>
      </c>
      <c r="BO14" s="157">
        <f>AM14+AN14+AO14+AP14+AQ14+AR14+AS14+AT14+AU14+AV14+AW14+AX14</f>
        <v/>
      </c>
      <c r="BP14" s="157">
        <f>AY14+AZ14+BA14+BB14+BC14+BD14+BE14+BF14+BG14+BH14+BI14+BJ14</f>
        <v/>
      </c>
    </row>
    <row r="15" ht="15" customHeight="1" s="104">
      <c r="A15" s="215" t="inlineStr">
        <is>
          <t xml:space="preserve">    % of Revenue</t>
        </is>
      </c>
      <c r="C15" s="216">
        <f>IF(C6=0,0,C14/C6)</f>
        <v/>
      </c>
      <c r="D15" s="216">
        <f>IF(D6=0,0,D14/D6)</f>
        <v/>
      </c>
      <c r="E15" s="216">
        <f>IF(E6=0,0,E14/E6)</f>
        <v/>
      </c>
      <c r="F15" s="216">
        <f>IF(F6=0,0,F14/F6)</f>
        <v/>
      </c>
      <c r="G15" s="216">
        <f>IF(G6=0,0,G14/G6)</f>
        <v/>
      </c>
      <c r="H15" s="216">
        <f>IF(H6=0,0,H14/H6)</f>
        <v/>
      </c>
      <c r="I15" s="216">
        <f>IF(I6=0,0,I14/I6)</f>
        <v/>
      </c>
      <c r="J15" s="216">
        <f>IF(J6=0,0,J14/J6)</f>
        <v/>
      </c>
      <c r="K15" s="216">
        <f>IF(K6=0,0,K14/K6)</f>
        <v/>
      </c>
      <c r="L15" s="216">
        <f>IF(L6=0,0,L14/L6)</f>
        <v/>
      </c>
      <c r="M15" s="216">
        <f>IF(M6=0,0,M14/M6)</f>
        <v/>
      </c>
      <c r="N15" s="216">
        <f>IF(N6=0,0,N14/N6)</f>
        <v/>
      </c>
      <c r="O15" s="216">
        <f>IF(O6=0,0,O14/O6)</f>
        <v/>
      </c>
      <c r="P15" s="216">
        <f>IF(P6=0,0,P14/P6)</f>
        <v/>
      </c>
      <c r="Q15" s="216">
        <f>IF(Q6=0,0,Q14/Q6)</f>
        <v/>
      </c>
      <c r="R15" s="216">
        <f>IF(R6=0,0,R14/R6)</f>
        <v/>
      </c>
      <c r="S15" s="216">
        <f>IF(S6=0,0,S14/S6)</f>
        <v/>
      </c>
      <c r="T15" s="216">
        <f>IF(T6=0,0,T14/T6)</f>
        <v/>
      </c>
      <c r="U15" s="216">
        <f>IF(U6=0,0,U14/U6)</f>
        <v/>
      </c>
      <c r="V15" s="216">
        <f>IF(V6=0,0,V14/V6)</f>
        <v/>
      </c>
      <c r="W15" s="216">
        <f>IF(W6=0,0,W14/W6)</f>
        <v/>
      </c>
      <c r="X15" s="216">
        <f>IF(X6=0,0,X14/X6)</f>
        <v/>
      </c>
      <c r="Y15" s="216">
        <f>IF(Y6=0,0,Y14/Y6)</f>
        <v/>
      </c>
      <c r="Z15" s="216">
        <f>IF(Z6=0,0,Z14/Z6)</f>
        <v/>
      </c>
      <c r="AA15" s="216">
        <f>IF(AA6=0,0,AA14/AA6)</f>
        <v/>
      </c>
      <c r="AB15" s="216">
        <f>IF(AB6=0,0,AB14/AB6)</f>
        <v/>
      </c>
      <c r="AC15" s="216">
        <f>IF(AC6=0,0,AC14/AC6)</f>
        <v/>
      </c>
      <c r="AD15" s="216">
        <f>IF(AD6=0,0,AD14/AD6)</f>
        <v/>
      </c>
      <c r="AE15" s="216">
        <f>IF(AE6=0,0,AE14/AE6)</f>
        <v/>
      </c>
      <c r="AF15" s="216">
        <f>IF(AF6=0,0,AF14/AF6)</f>
        <v/>
      </c>
      <c r="AG15" s="216">
        <f>IF(AG6=0,0,AG14/AG6)</f>
        <v/>
      </c>
      <c r="AH15" s="216">
        <f>IF(AH6=0,0,AH14/AH6)</f>
        <v/>
      </c>
      <c r="AI15" s="216">
        <f>IF(AI6=0,0,AI14/AI6)</f>
        <v/>
      </c>
      <c r="AJ15" s="216">
        <f>IF(AJ6=0,0,AJ14/AJ6)</f>
        <v/>
      </c>
      <c r="AK15" s="216">
        <f>IF(AK6=0,0,AK14/AK6)</f>
        <v/>
      </c>
      <c r="AL15" s="216">
        <f>IF(AL6=0,0,AL14/AL6)</f>
        <v/>
      </c>
      <c r="AM15" s="216">
        <f>IF(AM6=0,0,AM14/AM6)</f>
        <v/>
      </c>
      <c r="AN15" s="216">
        <f>IF(AN6=0,0,AN14/AN6)</f>
        <v/>
      </c>
      <c r="AO15" s="216">
        <f>IF(AO6=0,0,AO14/AO6)</f>
        <v/>
      </c>
      <c r="AP15" s="216">
        <f>IF(AP6=0,0,AP14/AP6)</f>
        <v/>
      </c>
      <c r="AQ15" s="216">
        <f>IF(AQ6=0,0,AQ14/AQ6)</f>
        <v/>
      </c>
      <c r="AR15" s="216">
        <f>IF(AR6=0,0,AR14/AR6)</f>
        <v/>
      </c>
      <c r="AS15" s="216">
        <f>IF(AS6=0,0,AS14/AS6)</f>
        <v/>
      </c>
      <c r="AT15" s="216">
        <f>IF(AT6=0,0,AT14/AT6)</f>
        <v/>
      </c>
      <c r="AU15" s="216">
        <f>IF(AU6=0,0,AU14/AU6)</f>
        <v/>
      </c>
      <c r="AV15" s="216">
        <f>IF(AV6=0,0,AV14/AV6)</f>
        <v/>
      </c>
      <c r="AW15" s="216">
        <f>IF(AW6=0,0,AW14/AW6)</f>
        <v/>
      </c>
      <c r="AX15" s="216">
        <f>IF(AX6=0,0,AX14/AX6)</f>
        <v/>
      </c>
      <c r="AY15" s="216">
        <f>IF(AY6=0,0,AY14/AY6)</f>
        <v/>
      </c>
      <c r="AZ15" s="216">
        <f>IF(AZ6=0,0,AZ14/AZ6)</f>
        <v/>
      </c>
      <c r="BA15" s="216">
        <f>IF(BA6=0,0,BA14/BA6)</f>
        <v/>
      </c>
      <c r="BB15" s="216">
        <f>IF(BB6=0,0,BB14/BB6)</f>
        <v/>
      </c>
      <c r="BC15" s="216">
        <f>IF(BC6=0,0,BC14/BC6)</f>
        <v/>
      </c>
      <c r="BD15" s="216">
        <f>IF(BD6=0,0,BD14/BD6)</f>
        <v/>
      </c>
      <c r="BE15" s="216">
        <f>IF(BE6=0,0,BE14/BE6)</f>
        <v/>
      </c>
      <c r="BF15" s="216">
        <f>IF(BF6=0,0,BF14/BF6)</f>
        <v/>
      </c>
      <c r="BG15" s="216">
        <f>IF(BG6=0,0,BG14/BG6)</f>
        <v/>
      </c>
      <c r="BH15" s="216">
        <f>IF(BH6=0,0,BH14/BH6)</f>
        <v/>
      </c>
      <c r="BI15" s="216">
        <f>IF(BI6=0,0,BI14/BI6)</f>
        <v/>
      </c>
      <c r="BJ15" s="216">
        <f>IF(BJ6=0,0,BJ14/BJ6)</f>
        <v/>
      </c>
      <c r="BL15" s="217">
        <f>IF((C6+D6+E6+F6+G6+H6+I6+J6+K6+L6+M6+N6)=0,0,(C14+D14+E14+F14+G14+H14+I14+J14+K14+L14+M14+N14)/(C6+D6+E6+F6+G6+H6+I6+J6+K6+L6+M6+N6))</f>
        <v/>
      </c>
      <c r="BM15" s="217">
        <f>IF((O6+P6+Q6+R6+S6+T6+U6+V6+W6+X6+Y6+Z6)=0,0,(O14+P14+Q14+R14+S14+T14+U14+V14+W14+X14+Y14+Z14)/(O6+P6+Q6+R6+S6+T6+U6+V6+W6+X6+Y6+Z6))</f>
        <v/>
      </c>
      <c r="BN15" s="217">
        <f>IF((AA6+AB6+AC6+AD6+AE6+AF6+AG6+AH6+AI6+AJ6+AK6+AL6)=0,0,(AA14+AB14+AC14+AD14+AE14+AF14+AG14+AH14+AI14+AJ14+AK14+AL14)/(AA6+AB6+AC6+AD6+AE6+AF6+AG6+AH6+AI6+AJ6+AK6+AL6))</f>
        <v/>
      </c>
      <c r="BO15" s="217">
        <f>IF((AM6+AN6+AO6+AP6+AQ6+AR6+AS6+AT6+AU6+AV6+AW6+AX6)=0,0,(AM14+AN14+AO14+AP14+AQ14+AR14+AS14+AT14+AU14+AV14+AW14+AX14)/(AM6+AN6+AO6+AP6+AQ6+AR6+AS6+AT6+AU6+AV6+AW6+AX6))</f>
        <v/>
      </c>
      <c r="BP15" s="217">
        <f>IF((AY6+AZ6+BA6+BB6+BC6+BD6+BE6+BF6+BG6+BH6+BI6+BJ6)=0,0,(AY14+AZ14+BA14+BB14+BC14+BD14+BE14+BF14+BG14+BH14+BI14+BJ14)/(AY6+AZ6+BA6+BB6+BC6+BD6+BE6+BF6+BG6+BH6+BI6+BJ6))</f>
        <v/>
      </c>
    </row>
    <row r="16" ht="15" customHeight="1" s="104">
      <c r="A16" s="107" t="inlineStr">
        <is>
          <t>Insurance</t>
        </is>
      </c>
      <c r="C16" s="156">
        <f>C6*(Assumptions!B32+Assumptions!B33*0)</f>
        <v/>
      </c>
      <c r="D16" s="156">
        <f>D6*(Assumptions!B32+Assumptions!B33*0)</f>
        <v/>
      </c>
      <c r="E16" s="156">
        <f>E6*(Assumptions!B32+Assumptions!B33*0)</f>
        <v/>
      </c>
      <c r="F16" s="156">
        <f>F6*(Assumptions!B32+Assumptions!B33*0)</f>
        <v/>
      </c>
      <c r="G16" s="156">
        <f>G6*(Assumptions!B32+Assumptions!B33*0)</f>
        <v/>
      </c>
      <c r="H16" s="156">
        <f>H6*(Assumptions!B32+Assumptions!B33*0)</f>
        <v/>
      </c>
      <c r="I16" s="156">
        <f>I6*(Assumptions!B32+Assumptions!B33*0)</f>
        <v/>
      </c>
      <c r="J16" s="156">
        <f>J6*(Assumptions!B32+Assumptions!B33*0)</f>
        <v/>
      </c>
      <c r="K16" s="156">
        <f>K6*(Assumptions!B32+Assumptions!B33*0)</f>
        <v/>
      </c>
      <c r="L16" s="156">
        <f>L6*(Assumptions!B32+Assumptions!B33*0)</f>
        <v/>
      </c>
      <c r="M16" s="156">
        <f>M6*(Assumptions!B32+Assumptions!B33*0)</f>
        <v/>
      </c>
      <c r="N16" s="156">
        <f>N6*(Assumptions!B32+Assumptions!B33*0)</f>
        <v/>
      </c>
      <c r="O16" s="156">
        <f>O6*(Assumptions!B32+Assumptions!B33*1)</f>
        <v/>
      </c>
      <c r="P16" s="156">
        <f>P6*(Assumptions!B32+Assumptions!B33*1)</f>
        <v/>
      </c>
      <c r="Q16" s="156">
        <f>Q6*(Assumptions!B32+Assumptions!B33*1)</f>
        <v/>
      </c>
      <c r="R16" s="156">
        <f>R6*(Assumptions!B32+Assumptions!B33*1)</f>
        <v/>
      </c>
      <c r="S16" s="156">
        <f>S6*(Assumptions!B32+Assumptions!B33*1)</f>
        <v/>
      </c>
      <c r="T16" s="156">
        <f>T6*(Assumptions!B32+Assumptions!B33*1)</f>
        <v/>
      </c>
      <c r="U16" s="156">
        <f>U6*(Assumptions!B32+Assumptions!B33*1)</f>
        <v/>
      </c>
      <c r="V16" s="156">
        <f>V6*(Assumptions!B32+Assumptions!B33*1)</f>
        <v/>
      </c>
      <c r="W16" s="156">
        <f>W6*(Assumptions!B32+Assumptions!B33*1)</f>
        <v/>
      </c>
      <c r="X16" s="156">
        <f>X6*(Assumptions!B32+Assumptions!B33*1)</f>
        <v/>
      </c>
      <c r="Y16" s="156">
        <f>Y6*(Assumptions!B32+Assumptions!B33*1)</f>
        <v/>
      </c>
      <c r="Z16" s="156">
        <f>Z6*(Assumptions!B32+Assumptions!B33*1)</f>
        <v/>
      </c>
      <c r="AA16" s="156">
        <f>AA6*(Assumptions!B32+Assumptions!B33*2)</f>
        <v/>
      </c>
      <c r="AB16" s="156">
        <f>AB6*(Assumptions!B32+Assumptions!B33*2)</f>
        <v/>
      </c>
      <c r="AC16" s="156">
        <f>AC6*(Assumptions!B32+Assumptions!B33*2)</f>
        <v/>
      </c>
      <c r="AD16" s="156">
        <f>AD6*(Assumptions!B32+Assumptions!B33*2)</f>
        <v/>
      </c>
      <c r="AE16" s="156">
        <f>AE6*(Assumptions!B32+Assumptions!B33*2)</f>
        <v/>
      </c>
      <c r="AF16" s="156">
        <f>AF6*(Assumptions!B32+Assumptions!B33*2)</f>
        <v/>
      </c>
      <c r="AG16" s="156">
        <f>AG6*(Assumptions!B32+Assumptions!B33*2)</f>
        <v/>
      </c>
      <c r="AH16" s="156">
        <f>AH6*(Assumptions!B32+Assumptions!B33*2)</f>
        <v/>
      </c>
      <c r="AI16" s="156">
        <f>AI6*(Assumptions!B32+Assumptions!B33*2)</f>
        <v/>
      </c>
      <c r="AJ16" s="156">
        <f>AJ6*(Assumptions!B32+Assumptions!B33*2)</f>
        <v/>
      </c>
      <c r="AK16" s="156">
        <f>AK6*(Assumptions!B32+Assumptions!B33*2)</f>
        <v/>
      </c>
      <c r="AL16" s="156">
        <f>AL6*(Assumptions!B32+Assumptions!B33*2)</f>
        <v/>
      </c>
      <c r="AM16" s="156">
        <f>AM6*(Assumptions!B32+Assumptions!B33*3)</f>
        <v/>
      </c>
      <c r="AN16" s="156">
        <f>AN6*(Assumptions!B32+Assumptions!B33*3)</f>
        <v/>
      </c>
      <c r="AO16" s="156">
        <f>AO6*(Assumptions!B32+Assumptions!B33*3)</f>
        <v/>
      </c>
      <c r="AP16" s="156">
        <f>AP6*(Assumptions!B32+Assumptions!B33*3)</f>
        <v/>
      </c>
      <c r="AQ16" s="156">
        <f>AQ6*(Assumptions!B32+Assumptions!B33*3)</f>
        <v/>
      </c>
      <c r="AR16" s="156">
        <f>AR6*(Assumptions!B32+Assumptions!B33*3)</f>
        <v/>
      </c>
      <c r="AS16" s="156">
        <f>AS6*(Assumptions!B32+Assumptions!B33*3)</f>
        <v/>
      </c>
      <c r="AT16" s="156">
        <f>AT6*(Assumptions!B32+Assumptions!B33*3)</f>
        <v/>
      </c>
      <c r="AU16" s="156">
        <f>AU6*(Assumptions!B32+Assumptions!B33*3)</f>
        <v/>
      </c>
      <c r="AV16" s="156">
        <f>AV6*(Assumptions!B32+Assumptions!B33*3)</f>
        <v/>
      </c>
      <c r="AW16" s="156">
        <f>AW6*(Assumptions!B32+Assumptions!B33*3)</f>
        <v/>
      </c>
      <c r="AX16" s="156">
        <f>AX6*(Assumptions!B32+Assumptions!B33*3)</f>
        <v/>
      </c>
      <c r="AY16" s="156">
        <f>AY6*(Assumptions!B32+Assumptions!B33*4)</f>
        <v/>
      </c>
      <c r="AZ16" s="156">
        <f>AZ6*(Assumptions!B32+Assumptions!B33*4)</f>
        <v/>
      </c>
      <c r="BA16" s="156">
        <f>BA6*(Assumptions!B32+Assumptions!B33*4)</f>
        <v/>
      </c>
      <c r="BB16" s="156">
        <f>BB6*(Assumptions!B32+Assumptions!B33*4)</f>
        <v/>
      </c>
      <c r="BC16" s="156">
        <f>BC6*(Assumptions!B32+Assumptions!B33*4)</f>
        <v/>
      </c>
      <c r="BD16" s="156">
        <f>BD6*(Assumptions!B32+Assumptions!B33*4)</f>
        <v/>
      </c>
      <c r="BE16" s="156">
        <f>BE6*(Assumptions!B32+Assumptions!B33*4)</f>
        <v/>
      </c>
      <c r="BF16" s="156">
        <f>BF6*(Assumptions!B32+Assumptions!B33*4)</f>
        <v/>
      </c>
      <c r="BG16" s="156">
        <f>BG6*(Assumptions!B32+Assumptions!B33*4)</f>
        <v/>
      </c>
      <c r="BH16" s="156">
        <f>BH6*(Assumptions!B32+Assumptions!B33*4)</f>
        <v/>
      </c>
      <c r="BI16" s="156">
        <f>BI6*(Assumptions!B32+Assumptions!B33*4)</f>
        <v/>
      </c>
      <c r="BJ16" s="156">
        <f>BJ6*(Assumptions!B32+Assumptions!B33*4)</f>
        <v/>
      </c>
      <c r="BL16" s="157">
        <f>C16+D16+E16+F16+G16+H16+I16+J16+K16+L16+M16+N16</f>
        <v/>
      </c>
      <c r="BM16" s="157">
        <f>O16+P16+Q16+R16+S16+T16+U16+V16+W16+X16+Y16+Z16</f>
        <v/>
      </c>
      <c r="BN16" s="157">
        <f>AA16+AB16+AC16+AD16+AE16+AF16+AG16+AH16+AI16+AJ16+AK16+AL16</f>
        <v/>
      </c>
      <c r="BO16" s="157">
        <f>AM16+AN16+AO16+AP16+AQ16+AR16+AS16+AT16+AU16+AV16+AW16+AX16</f>
        <v/>
      </c>
      <c r="BP16" s="157">
        <f>AY16+AZ16+BA16+BB16+BC16+BD16+BE16+BF16+BG16+BH16+BI16+BJ16</f>
        <v/>
      </c>
    </row>
    <row r="17" ht="15" customHeight="1" s="104">
      <c r="A17" s="215" t="inlineStr">
        <is>
          <t xml:space="preserve">    % of Revenue</t>
        </is>
      </c>
      <c r="C17" s="216">
        <f>IF(C6=0,0,C16/C6)</f>
        <v/>
      </c>
      <c r="D17" s="216">
        <f>IF(D6=0,0,D16/D6)</f>
        <v/>
      </c>
      <c r="E17" s="216">
        <f>IF(E6=0,0,E16/E6)</f>
        <v/>
      </c>
      <c r="F17" s="216">
        <f>IF(F6=0,0,F16/F6)</f>
        <v/>
      </c>
      <c r="G17" s="216">
        <f>IF(G6=0,0,G16/G6)</f>
        <v/>
      </c>
      <c r="H17" s="216">
        <f>IF(H6=0,0,H16/H6)</f>
        <v/>
      </c>
      <c r="I17" s="216">
        <f>IF(I6=0,0,I16/I6)</f>
        <v/>
      </c>
      <c r="J17" s="216">
        <f>IF(J6=0,0,J16/J6)</f>
        <v/>
      </c>
      <c r="K17" s="216">
        <f>IF(K6=0,0,K16/K6)</f>
        <v/>
      </c>
      <c r="L17" s="216">
        <f>IF(L6=0,0,L16/L6)</f>
        <v/>
      </c>
      <c r="M17" s="216">
        <f>IF(M6=0,0,M16/M6)</f>
        <v/>
      </c>
      <c r="N17" s="216">
        <f>IF(N6=0,0,N16/N6)</f>
        <v/>
      </c>
      <c r="O17" s="216">
        <f>IF(O6=0,0,O16/O6)</f>
        <v/>
      </c>
      <c r="P17" s="216">
        <f>IF(P6=0,0,P16/P6)</f>
        <v/>
      </c>
      <c r="Q17" s="216">
        <f>IF(Q6=0,0,Q16/Q6)</f>
        <v/>
      </c>
      <c r="R17" s="216">
        <f>IF(R6=0,0,R16/R6)</f>
        <v/>
      </c>
      <c r="S17" s="216">
        <f>IF(S6=0,0,S16/S6)</f>
        <v/>
      </c>
      <c r="T17" s="216">
        <f>IF(T6=0,0,T16/T6)</f>
        <v/>
      </c>
      <c r="U17" s="216">
        <f>IF(U6=0,0,U16/U6)</f>
        <v/>
      </c>
      <c r="V17" s="216">
        <f>IF(V6=0,0,V16/V6)</f>
        <v/>
      </c>
      <c r="W17" s="216">
        <f>IF(W6=0,0,W16/W6)</f>
        <v/>
      </c>
      <c r="X17" s="216">
        <f>IF(X6=0,0,X16/X6)</f>
        <v/>
      </c>
      <c r="Y17" s="216">
        <f>IF(Y6=0,0,Y16/Y6)</f>
        <v/>
      </c>
      <c r="Z17" s="216">
        <f>IF(Z6=0,0,Z16/Z6)</f>
        <v/>
      </c>
      <c r="AA17" s="216">
        <f>IF(AA6=0,0,AA16/AA6)</f>
        <v/>
      </c>
      <c r="AB17" s="216">
        <f>IF(AB6=0,0,AB16/AB6)</f>
        <v/>
      </c>
      <c r="AC17" s="216">
        <f>IF(AC6=0,0,AC16/AC6)</f>
        <v/>
      </c>
      <c r="AD17" s="216">
        <f>IF(AD6=0,0,AD16/AD6)</f>
        <v/>
      </c>
      <c r="AE17" s="216">
        <f>IF(AE6=0,0,AE16/AE6)</f>
        <v/>
      </c>
      <c r="AF17" s="216">
        <f>IF(AF6=0,0,AF16/AF6)</f>
        <v/>
      </c>
      <c r="AG17" s="216">
        <f>IF(AG6=0,0,AG16/AG6)</f>
        <v/>
      </c>
      <c r="AH17" s="216">
        <f>IF(AH6=0,0,AH16/AH6)</f>
        <v/>
      </c>
      <c r="AI17" s="216">
        <f>IF(AI6=0,0,AI16/AI6)</f>
        <v/>
      </c>
      <c r="AJ17" s="216">
        <f>IF(AJ6=0,0,AJ16/AJ6)</f>
        <v/>
      </c>
      <c r="AK17" s="216">
        <f>IF(AK6=0,0,AK16/AK6)</f>
        <v/>
      </c>
      <c r="AL17" s="216">
        <f>IF(AL6=0,0,AL16/AL6)</f>
        <v/>
      </c>
      <c r="AM17" s="216">
        <f>IF(AM6=0,0,AM16/AM6)</f>
        <v/>
      </c>
      <c r="AN17" s="216">
        <f>IF(AN6=0,0,AN16/AN6)</f>
        <v/>
      </c>
      <c r="AO17" s="216">
        <f>IF(AO6=0,0,AO16/AO6)</f>
        <v/>
      </c>
      <c r="AP17" s="216">
        <f>IF(AP6=0,0,AP16/AP6)</f>
        <v/>
      </c>
      <c r="AQ17" s="216">
        <f>IF(AQ6=0,0,AQ16/AQ6)</f>
        <v/>
      </c>
      <c r="AR17" s="216">
        <f>IF(AR6=0,0,AR16/AR6)</f>
        <v/>
      </c>
      <c r="AS17" s="216">
        <f>IF(AS6=0,0,AS16/AS6)</f>
        <v/>
      </c>
      <c r="AT17" s="216">
        <f>IF(AT6=0,0,AT16/AT6)</f>
        <v/>
      </c>
      <c r="AU17" s="216">
        <f>IF(AU6=0,0,AU16/AU6)</f>
        <v/>
      </c>
      <c r="AV17" s="216">
        <f>IF(AV6=0,0,AV16/AV6)</f>
        <v/>
      </c>
      <c r="AW17" s="216">
        <f>IF(AW6=0,0,AW16/AW6)</f>
        <v/>
      </c>
      <c r="AX17" s="216">
        <f>IF(AX6=0,0,AX16/AX6)</f>
        <v/>
      </c>
      <c r="AY17" s="216">
        <f>IF(AY6=0,0,AY16/AY6)</f>
        <v/>
      </c>
      <c r="AZ17" s="216">
        <f>IF(AZ6=0,0,AZ16/AZ6)</f>
        <v/>
      </c>
      <c r="BA17" s="216">
        <f>IF(BA6=0,0,BA16/BA6)</f>
        <v/>
      </c>
      <c r="BB17" s="216">
        <f>IF(BB6=0,0,BB16/BB6)</f>
        <v/>
      </c>
      <c r="BC17" s="216">
        <f>IF(BC6=0,0,BC16/BC6)</f>
        <v/>
      </c>
      <c r="BD17" s="216">
        <f>IF(BD6=0,0,BD16/BD6)</f>
        <v/>
      </c>
      <c r="BE17" s="216">
        <f>IF(BE6=0,0,BE16/BE6)</f>
        <v/>
      </c>
      <c r="BF17" s="216">
        <f>IF(BF6=0,0,BF16/BF6)</f>
        <v/>
      </c>
      <c r="BG17" s="216">
        <f>IF(BG6=0,0,BG16/BG6)</f>
        <v/>
      </c>
      <c r="BH17" s="216">
        <f>IF(BH6=0,0,BH16/BH6)</f>
        <v/>
      </c>
      <c r="BI17" s="216">
        <f>IF(BI6=0,0,BI16/BI6)</f>
        <v/>
      </c>
      <c r="BJ17" s="216">
        <f>IF(BJ6=0,0,BJ16/BJ6)</f>
        <v/>
      </c>
      <c r="BL17" s="217">
        <f>IF((C6+D6+E6+F6+G6+H6+I6+J6+K6+L6+M6+N6)=0,0,(C16+D16+E16+F16+G16+H16+I16+J16+K16+L16+M16+N16)/(C6+D6+E6+F6+G6+H6+I6+J6+K6+L6+M6+N6))</f>
        <v/>
      </c>
      <c r="BM17" s="217">
        <f>IF((O6+P6+Q6+R6+S6+T6+U6+V6+W6+X6+Y6+Z6)=0,0,(O16+P16+Q16+R16+S16+T16+U16+V16+W16+X16+Y16+Z16)/(O6+P6+Q6+R6+S6+T6+U6+V6+W6+X6+Y6+Z6))</f>
        <v/>
      </c>
      <c r="BN17" s="217">
        <f>IF((AA6+AB6+AC6+AD6+AE6+AF6+AG6+AH6+AI6+AJ6+AK6+AL6)=0,0,(AA16+AB16+AC16+AD16+AE16+AF16+AG16+AH16+AI16+AJ16+AK16+AL16)/(AA6+AB6+AC6+AD6+AE6+AF6+AG6+AH6+AI6+AJ6+AK6+AL6))</f>
        <v/>
      </c>
      <c r="BO17" s="217">
        <f>IF((AM6+AN6+AO6+AP6+AQ6+AR6+AS6+AT6+AU6+AV6+AW6+AX6)=0,0,(AM16+AN16+AO16+AP16+AQ16+AR16+AS16+AT16+AU16+AV16+AW16+AX16)/(AM6+AN6+AO6+AP6+AQ6+AR6+AS6+AT6+AU6+AV6+AW6+AX6))</f>
        <v/>
      </c>
      <c r="BP17" s="217">
        <f>IF((AY6+AZ6+BA6+BB6+BC6+BD6+BE6+BF6+BG6+BH6+BI6+BJ6)=0,0,(AY16+AZ16+BA16+BB16+BC16+BD16+BE16+BF16+BG16+BH16+BI16+BJ16)/(AY6+AZ6+BA6+BB6+BC6+BD6+BE6+BF6+BG6+BH6+BI6+BJ6))</f>
        <v/>
      </c>
    </row>
    <row r="18" ht="15" customHeight="1" s="104">
      <c r="A18" s="107" t="inlineStr">
        <is>
          <t>Other Operating Expenses</t>
        </is>
      </c>
      <c r="C18" s="156">
        <f>C6*(Assumptions!B34+Assumptions!B35*0)</f>
        <v/>
      </c>
      <c r="D18" s="156">
        <f>D6*(Assumptions!B34+Assumptions!B35*0)</f>
        <v/>
      </c>
      <c r="E18" s="156">
        <f>E6*(Assumptions!B34+Assumptions!B35*0)</f>
        <v/>
      </c>
      <c r="F18" s="156">
        <f>F6*(Assumptions!B34+Assumptions!B35*0)</f>
        <v/>
      </c>
      <c r="G18" s="156">
        <f>G6*(Assumptions!B34+Assumptions!B35*0)</f>
        <v/>
      </c>
      <c r="H18" s="156">
        <f>H6*(Assumptions!B34+Assumptions!B35*0)</f>
        <v/>
      </c>
      <c r="I18" s="156">
        <f>I6*(Assumptions!B34+Assumptions!B35*0)</f>
        <v/>
      </c>
      <c r="J18" s="156">
        <f>J6*(Assumptions!B34+Assumptions!B35*0)</f>
        <v/>
      </c>
      <c r="K18" s="156">
        <f>K6*(Assumptions!B34+Assumptions!B35*0)</f>
        <v/>
      </c>
      <c r="L18" s="156">
        <f>L6*(Assumptions!B34+Assumptions!B35*0)</f>
        <v/>
      </c>
      <c r="M18" s="156">
        <f>M6*(Assumptions!B34+Assumptions!B35*0)</f>
        <v/>
      </c>
      <c r="N18" s="156">
        <f>N6*(Assumptions!B34+Assumptions!B35*0)</f>
        <v/>
      </c>
      <c r="O18" s="156">
        <f>O6*(Assumptions!B34+Assumptions!B35*1)</f>
        <v/>
      </c>
      <c r="P18" s="156">
        <f>P6*(Assumptions!B34+Assumptions!B35*1)</f>
        <v/>
      </c>
      <c r="Q18" s="156">
        <f>Q6*(Assumptions!B34+Assumptions!B35*1)</f>
        <v/>
      </c>
      <c r="R18" s="156">
        <f>R6*(Assumptions!B34+Assumptions!B35*1)</f>
        <v/>
      </c>
      <c r="S18" s="156">
        <f>S6*(Assumptions!B34+Assumptions!B35*1)</f>
        <v/>
      </c>
      <c r="T18" s="156">
        <f>T6*(Assumptions!B34+Assumptions!B35*1)</f>
        <v/>
      </c>
      <c r="U18" s="156">
        <f>U6*(Assumptions!B34+Assumptions!B35*1)</f>
        <v/>
      </c>
      <c r="V18" s="156">
        <f>V6*(Assumptions!B34+Assumptions!B35*1)</f>
        <v/>
      </c>
      <c r="W18" s="156">
        <f>W6*(Assumptions!B34+Assumptions!B35*1)</f>
        <v/>
      </c>
      <c r="X18" s="156">
        <f>X6*(Assumptions!B34+Assumptions!B35*1)</f>
        <v/>
      </c>
      <c r="Y18" s="156">
        <f>Y6*(Assumptions!B34+Assumptions!B35*1)</f>
        <v/>
      </c>
      <c r="Z18" s="156">
        <f>Z6*(Assumptions!B34+Assumptions!B35*1)</f>
        <v/>
      </c>
      <c r="AA18" s="156">
        <f>AA6*(Assumptions!B34+Assumptions!B35*2)</f>
        <v/>
      </c>
      <c r="AB18" s="156">
        <f>AB6*(Assumptions!B34+Assumptions!B35*2)</f>
        <v/>
      </c>
      <c r="AC18" s="156">
        <f>AC6*(Assumptions!B34+Assumptions!B35*2)</f>
        <v/>
      </c>
      <c r="AD18" s="156">
        <f>AD6*(Assumptions!B34+Assumptions!B35*2)</f>
        <v/>
      </c>
      <c r="AE18" s="156">
        <f>AE6*(Assumptions!B34+Assumptions!B35*2)</f>
        <v/>
      </c>
      <c r="AF18" s="156">
        <f>AF6*(Assumptions!B34+Assumptions!B35*2)</f>
        <v/>
      </c>
      <c r="AG18" s="156">
        <f>AG6*(Assumptions!B34+Assumptions!B35*2)</f>
        <v/>
      </c>
      <c r="AH18" s="156">
        <f>AH6*(Assumptions!B34+Assumptions!B35*2)</f>
        <v/>
      </c>
      <c r="AI18" s="156">
        <f>AI6*(Assumptions!B34+Assumptions!B35*2)</f>
        <v/>
      </c>
      <c r="AJ18" s="156">
        <f>AJ6*(Assumptions!B34+Assumptions!B35*2)</f>
        <v/>
      </c>
      <c r="AK18" s="156">
        <f>AK6*(Assumptions!B34+Assumptions!B35*2)</f>
        <v/>
      </c>
      <c r="AL18" s="156">
        <f>AL6*(Assumptions!B34+Assumptions!B35*2)</f>
        <v/>
      </c>
      <c r="AM18" s="156">
        <f>AM6*(Assumptions!B34+Assumptions!B35*3)</f>
        <v/>
      </c>
      <c r="AN18" s="156">
        <f>AN6*(Assumptions!B34+Assumptions!B35*3)</f>
        <v/>
      </c>
      <c r="AO18" s="156">
        <f>AO6*(Assumptions!B34+Assumptions!B35*3)</f>
        <v/>
      </c>
      <c r="AP18" s="156">
        <f>AP6*(Assumptions!B34+Assumptions!B35*3)</f>
        <v/>
      </c>
      <c r="AQ18" s="156">
        <f>AQ6*(Assumptions!B34+Assumptions!B35*3)</f>
        <v/>
      </c>
      <c r="AR18" s="156">
        <f>AR6*(Assumptions!B34+Assumptions!B35*3)</f>
        <v/>
      </c>
      <c r="AS18" s="156">
        <f>AS6*(Assumptions!B34+Assumptions!B35*3)</f>
        <v/>
      </c>
      <c r="AT18" s="156">
        <f>AT6*(Assumptions!B34+Assumptions!B35*3)</f>
        <v/>
      </c>
      <c r="AU18" s="156">
        <f>AU6*(Assumptions!B34+Assumptions!B35*3)</f>
        <v/>
      </c>
      <c r="AV18" s="156">
        <f>AV6*(Assumptions!B34+Assumptions!B35*3)</f>
        <v/>
      </c>
      <c r="AW18" s="156">
        <f>AW6*(Assumptions!B34+Assumptions!B35*3)</f>
        <v/>
      </c>
      <c r="AX18" s="156">
        <f>AX6*(Assumptions!B34+Assumptions!B35*3)</f>
        <v/>
      </c>
      <c r="AY18" s="156">
        <f>AY6*(Assumptions!B34+Assumptions!B35*4)</f>
        <v/>
      </c>
      <c r="AZ18" s="156">
        <f>AZ6*(Assumptions!B34+Assumptions!B35*4)</f>
        <v/>
      </c>
      <c r="BA18" s="156">
        <f>BA6*(Assumptions!B34+Assumptions!B35*4)</f>
        <v/>
      </c>
      <c r="BB18" s="156">
        <f>BB6*(Assumptions!B34+Assumptions!B35*4)</f>
        <v/>
      </c>
      <c r="BC18" s="156">
        <f>BC6*(Assumptions!B34+Assumptions!B35*4)</f>
        <v/>
      </c>
      <c r="BD18" s="156">
        <f>BD6*(Assumptions!B34+Assumptions!B35*4)</f>
        <v/>
      </c>
      <c r="BE18" s="156">
        <f>BE6*(Assumptions!B34+Assumptions!B35*4)</f>
        <v/>
      </c>
      <c r="BF18" s="156">
        <f>BF6*(Assumptions!B34+Assumptions!B35*4)</f>
        <v/>
      </c>
      <c r="BG18" s="156">
        <f>BG6*(Assumptions!B34+Assumptions!B35*4)</f>
        <v/>
      </c>
      <c r="BH18" s="156">
        <f>BH6*(Assumptions!B34+Assumptions!B35*4)</f>
        <v/>
      </c>
      <c r="BI18" s="156">
        <f>BI6*(Assumptions!B34+Assumptions!B35*4)</f>
        <v/>
      </c>
      <c r="BJ18" s="156">
        <f>BJ6*(Assumptions!B34+Assumptions!B35*4)</f>
        <v/>
      </c>
      <c r="BL18" s="157">
        <f>C18+D18+E18+F18+G18+H18+I18+J18+K18+L18+M18+N18</f>
        <v/>
      </c>
      <c r="BM18" s="157">
        <f>O18+P18+Q18+R18+S18+T18+U18+V18+W18+X18+Y18+Z18</f>
        <v/>
      </c>
      <c r="BN18" s="157">
        <f>AA18+AB18+AC18+AD18+AE18+AF18+AG18+AH18+AI18+AJ18+AK18+AL18</f>
        <v/>
      </c>
      <c r="BO18" s="157">
        <f>AM18+AN18+AO18+AP18+AQ18+AR18+AS18+AT18+AU18+AV18+AW18+AX18</f>
        <v/>
      </c>
      <c r="BP18" s="157">
        <f>AY18+AZ18+BA18+BB18+BC18+BD18+BE18+BF18+BG18+BH18+BI18+BJ18</f>
        <v/>
      </c>
    </row>
    <row r="19" ht="15" customHeight="1" s="104">
      <c r="A19" s="215" t="inlineStr">
        <is>
          <t xml:space="preserve">    % of Revenue</t>
        </is>
      </c>
      <c r="C19" s="216">
        <f>IF(C6=0,0,C18/C6)</f>
        <v/>
      </c>
      <c r="D19" s="216">
        <f>IF(D6=0,0,D18/D6)</f>
        <v/>
      </c>
      <c r="E19" s="216">
        <f>IF(E6=0,0,E18/E6)</f>
        <v/>
      </c>
      <c r="F19" s="216">
        <f>IF(F6=0,0,F18/F6)</f>
        <v/>
      </c>
      <c r="G19" s="216">
        <f>IF(G6=0,0,G18/G6)</f>
        <v/>
      </c>
      <c r="H19" s="216">
        <f>IF(H6=0,0,H18/H6)</f>
        <v/>
      </c>
      <c r="I19" s="216">
        <f>IF(I6=0,0,I18/I6)</f>
        <v/>
      </c>
      <c r="J19" s="216">
        <f>IF(J6=0,0,J18/J6)</f>
        <v/>
      </c>
      <c r="K19" s="216">
        <f>IF(K6=0,0,K18/K6)</f>
        <v/>
      </c>
      <c r="L19" s="216">
        <f>IF(L6=0,0,L18/L6)</f>
        <v/>
      </c>
      <c r="M19" s="216">
        <f>IF(M6=0,0,M18/M6)</f>
        <v/>
      </c>
      <c r="N19" s="216">
        <f>IF(N6=0,0,N18/N6)</f>
        <v/>
      </c>
      <c r="O19" s="216">
        <f>IF(O6=0,0,O18/O6)</f>
        <v/>
      </c>
      <c r="P19" s="216">
        <f>IF(P6=0,0,P18/P6)</f>
        <v/>
      </c>
      <c r="Q19" s="216">
        <f>IF(Q6=0,0,Q18/Q6)</f>
        <v/>
      </c>
      <c r="R19" s="216">
        <f>IF(R6=0,0,R18/R6)</f>
        <v/>
      </c>
      <c r="S19" s="216">
        <f>IF(S6=0,0,S18/S6)</f>
        <v/>
      </c>
      <c r="T19" s="216">
        <f>IF(T6=0,0,T18/T6)</f>
        <v/>
      </c>
      <c r="U19" s="216">
        <f>IF(U6=0,0,U18/U6)</f>
        <v/>
      </c>
      <c r="V19" s="216">
        <f>IF(V6=0,0,V18/V6)</f>
        <v/>
      </c>
      <c r="W19" s="216">
        <f>IF(W6=0,0,W18/W6)</f>
        <v/>
      </c>
      <c r="X19" s="216">
        <f>IF(X6=0,0,X18/X6)</f>
        <v/>
      </c>
      <c r="Y19" s="216">
        <f>IF(Y6=0,0,Y18/Y6)</f>
        <v/>
      </c>
      <c r="Z19" s="216">
        <f>IF(Z6=0,0,Z18/Z6)</f>
        <v/>
      </c>
      <c r="AA19" s="216">
        <f>IF(AA6=0,0,AA18/AA6)</f>
        <v/>
      </c>
      <c r="AB19" s="216">
        <f>IF(AB6=0,0,AB18/AB6)</f>
        <v/>
      </c>
      <c r="AC19" s="216">
        <f>IF(AC6=0,0,AC18/AC6)</f>
        <v/>
      </c>
      <c r="AD19" s="216">
        <f>IF(AD6=0,0,AD18/AD6)</f>
        <v/>
      </c>
      <c r="AE19" s="216">
        <f>IF(AE6=0,0,AE18/AE6)</f>
        <v/>
      </c>
      <c r="AF19" s="216">
        <f>IF(AF6=0,0,AF18/AF6)</f>
        <v/>
      </c>
      <c r="AG19" s="216">
        <f>IF(AG6=0,0,AG18/AG6)</f>
        <v/>
      </c>
      <c r="AH19" s="216">
        <f>IF(AH6=0,0,AH18/AH6)</f>
        <v/>
      </c>
      <c r="AI19" s="216">
        <f>IF(AI6=0,0,AI18/AI6)</f>
        <v/>
      </c>
      <c r="AJ19" s="216">
        <f>IF(AJ6=0,0,AJ18/AJ6)</f>
        <v/>
      </c>
      <c r="AK19" s="216">
        <f>IF(AK6=0,0,AK18/AK6)</f>
        <v/>
      </c>
      <c r="AL19" s="216">
        <f>IF(AL6=0,0,AL18/AL6)</f>
        <v/>
      </c>
      <c r="AM19" s="216">
        <f>IF(AM6=0,0,AM18/AM6)</f>
        <v/>
      </c>
      <c r="AN19" s="216">
        <f>IF(AN6=0,0,AN18/AN6)</f>
        <v/>
      </c>
      <c r="AO19" s="216">
        <f>IF(AO6=0,0,AO18/AO6)</f>
        <v/>
      </c>
      <c r="AP19" s="216">
        <f>IF(AP6=0,0,AP18/AP6)</f>
        <v/>
      </c>
      <c r="AQ19" s="216">
        <f>IF(AQ6=0,0,AQ18/AQ6)</f>
        <v/>
      </c>
      <c r="AR19" s="216">
        <f>IF(AR6=0,0,AR18/AR6)</f>
        <v/>
      </c>
      <c r="AS19" s="216">
        <f>IF(AS6=0,0,AS18/AS6)</f>
        <v/>
      </c>
      <c r="AT19" s="216">
        <f>IF(AT6=0,0,AT18/AT6)</f>
        <v/>
      </c>
      <c r="AU19" s="216">
        <f>IF(AU6=0,0,AU18/AU6)</f>
        <v/>
      </c>
      <c r="AV19" s="216">
        <f>IF(AV6=0,0,AV18/AV6)</f>
        <v/>
      </c>
      <c r="AW19" s="216">
        <f>IF(AW6=0,0,AW18/AW6)</f>
        <v/>
      </c>
      <c r="AX19" s="216">
        <f>IF(AX6=0,0,AX18/AX6)</f>
        <v/>
      </c>
      <c r="AY19" s="216">
        <f>IF(AY6=0,0,AY18/AY6)</f>
        <v/>
      </c>
      <c r="AZ19" s="216">
        <f>IF(AZ6=0,0,AZ18/AZ6)</f>
        <v/>
      </c>
      <c r="BA19" s="216">
        <f>IF(BA6=0,0,BA18/BA6)</f>
        <v/>
      </c>
      <c r="BB19" s="216">
        <f>IF(BB6=0,0,BB18/BB6)</f>
        <v/>
      </c>
      <c r="BC19" s="216">
        <f>IF(BC6=0,0,BC18/BC6)</f>
        <v/>
      </c>
      <c r="BD19" s="216">
        <f>IF(BD6=0,0,BD18/BD6)</f>
        <v/>
      </c>
      <c r="BE19" s="216">
        <f>IF(BE6=0,0,BE18/BE6)</f>
        <v/>
      </c>
      <c r="BF19" s="216">
        <f>IF(BF6=0,0,BF18/BF6)</f>
        <v/>
      </c>
      <c r="BG19" s="216">
        <f>IF(BG6=0,0,BG18/BG6)</f>
        <v/>
      </c>
      <c r="BH19" s="216">
        <f>IF(BH6=0,0,BH18/BH6)</f>
        <v/>
      </c>
      <c r="BI19" s="216">
        <f>IF(BI6=0,0,BI18/BI6)</f>
        <v/>
      </c>
      <c r="BJ19" s="216">
        <f>IF(BJ6=0,0,BJ18/BJ6)</f>
        <v/>
      </c>
      <c r="BL19" s="217">
        <f>IF((C6+D6+E6+F6+G6+H6+I6+J6+K6+L6+M6+N6)=0,0,(C18+D18+E18+F18+G18+H18+I18+J18+K18+L18+M18+N18)/(C6+D6+E6+F6+G6+H6+I6+J6+K6+L6+M6+N6))</f>
        <v/>
      </c>
      <c r="BM19" s="217">
        <f>IF((O6+P6+Q6+R6+S6+T6+U6+V6+W6+X6+Y6+Z6)=0,0,(O18+P18+Q18+R18+S18+T18+U18+V18+W18+X18+Y18+Z18)/(O6+P6+Q6+R6+S6+T6+U6+V6+W6+X6+Y6+Z6))</f>
        <v/>
      </c>
      <c r="BN19" s="217">
        <f>IF((AA6+AB6+AC6+AD6+AE6+AF6+AG6+AH6+AI6+AJ6+AK6+AL6)=0,0,(AA18+AB18+AC18+AD18+AE18+AF18+AG18+AH18+AI18+AJ18+AK18+AL18)/(AA6+AB6+AC6+AD6+AE6+AF6+AG6+AH6+AI6+AJ6+AK6+AL6))</f>
        <v/>
      </c>
      <c r="BO19" s="217">
        <f>IF((AM6+AN6+AO6+AP6+AQ6+AR6+AS6+AT6+AU6+AV6+AW6+AX6)=0,0,(AM18+AN18+AO18+AP18+AQ18+AR18+AS18+AT18+AU18+AV18+AW18+AX18)/(AM6+AN6+AO6+AP6+AQ6+AR6+AS6+AT6+AU6+AV6+AW6+AX6))</f>
        <v/>
      </c>
      <c r="BP19" s="217">
        <f>IF((AY6+AZ6+BA6+BB6+BC6+BD6+BE6+BF6+BG6+BH6+BI6+BJ6)=0,0,(AY18+AZ18+BA18+BB18+BC18+BD18+BE18+BF18+BG18+BH18+BI18+BJ18)/(AY6+AZ6+BA6+BB6+BC6+BD6+BE6+BF6+BG6+BH6+BI6+BJ6))</f>
        <v/>
      </c>
    </row>
    <row r="20" ht="15" customHeight="1" s="104">
      <c r="A20" s="116" t="inlineStr">
        <is>
          <t>Total Operating Expenses</t>
        </is>
      </c>
      <c r="C20" s="151">
        <f>C8+C10+C12+C14+C16+C18</f>
        <v/>
      </c>
      <c r="D20" s="151">
        <f>D8+D10+D12+D14+D16+D18</f>
        <v/>
      </c>
      <c r="E20" s="151">
        <f>E8+E10+E12+E14+E16+E18</f>
        <v/>
      </c>
      <c r="F20" s="151">
        <f>F8+F10+F12+F14+F16+F18</f>
        <v/>
      </c>
      <c r="G20" s="151">
        <f>G8+G10+G12+G14+G16+G18</f>
        <v/>
      </c>
      <c r="H20" s="151">
        <f>H8+H10+H12+H14+H16+H18</f>
        <v/>
      </c>
      <c r="I20" s="151">
        <f>I8+I10+I12+I14+I16+I18</f>
        <v/>
      </c>
      <c r="J20" s="151">
        <f>J8+J10+J12+J14+J16+J18</f>
        <v/>
      </c>
      <c r="K20" s="151">
        <f>K8+K10+K12+K14+K16+K18</f>
        <v/>
      </c>
      <c r="L20" s="151">
        <f>L8+L10+L12+L14+L16+L18</f>
        <v/>
      </c>
      <c r="M20" s="151">
        <f>M8+M10+M12+M14+M16+M18</f>
        <v/>
      </c>
      <c r="N20" s="151">
        <f>N8+N10+N12+N14+N16+N18</f>
        <v/>
      </c>
      <c r="O20" s="151">
        <f>O8+O10+O12+O14+O16+O18</f>
        <v/>
      </c>
      <c r="P20" s="151">
        <f>P8+P10+P12+P14+P16+P18</f>
        <v/>
      </c>
      <c r="Q20" s="151">
        <f>Q8+Q10+Q12+Q14+Q16+Q18</f>
        <v/>
      </c>
      <c r="R20" s="151">
        <f>R8+R10+R12+R14+R16+R18</f>
        <v/>
      </c>
      <c r="S20" s="151">
        <f>S8+S10+S12+S14+S16+S18</f>
        <v/>
      </c>
      <c r="T20" s="151">
        <f>T8+T10+T12+T14+T16+T18</f>
        <v/>
      </c>
      <c r="U20" s="151">
        <f>U8+U10+U12+U14+U16+U18</f>
        <v/>
      </c>
      <c r="V20" s="151">
        <f>V8+V10+V12+V14+V16+V18</f>
        <v/>
      </c>
      <c r="W20" s="151">
        <f>W8+W10+W12+W14+W16+W18</f>
        <v/>
      </c>
      <c r="X20" s="151">
        <f>X8+X10+X12+X14+X16+X18</f>
        <v/>
      </c>
      <c r="Y20" s="151">
        <f>Y8+Y10+Y12+Y14+Y16+Y18</f>
        <v/>
      </c>
      <c r="Z20" s="151">
        <f>Z8+Z10+Z12+Z14+Z16+Z18</f>
        <v/>
      </c>
      <c r="AA20" s="151">
        <f>AA8+AA10+AA12+AA14+AA16+AA18</f>
        <v/>
      </c>
      <c r="AB20" s="151">
        <f>AB8+AB10+AB12+AB14+AB16+AB18</f>
        <v/>
      </c>
      <c r="AC20" s="151">
        <f>AC8+AC10+AC12+AC14+AC16+AC18</f>
        <v/>
      </c>
      <c r="AD20" s="151">
        <f>AD8+AD10+AD12+AD14+AD16+AD18</f>
        <v/>
      </c>
      <c r="AE20" s="151">
        <f>AE8+AE10+AE12+AE14+AE16+AE18</f>
        <v/>
      </c>
      <c r="AF20" s="151">
        <f>AF8+AF10+AF12+AF14+AF16+AF18</f>
        <v/>
      </c>
      <c r="AG20" s="151">
        <f>AG8+AG10+AG12+AG14+AG16+AG18</f>
        <v/>
      </c>
      <c r="AH20" s="151">
        <f>AH8+AH10+AH12+AH14+AH16+AH18</f>
        <v/>
      </c>
      <c r="AI20" s="151">
        <f>AI8+AI10+AI12+AI14+AI16+AI18</f>
        <v/>
      </c>
      <c r="AJ20" s="151">
        <f>AJ8+AJ10+AJ12+AJ14+AJ16+AJ18</f>
        <v/>
      </c>
      <c r="AK20" s="151">
        <f>AK8+AK10+AK12+AK14+AK16+AK18</f>
        <v/>
      </c>
      <c r="AL20" s="151">
        <f>AL8+AL10+AL12+AL14+AL16+AL18</f>
        <v/>
      </c>
      <c r="AM20" s="151">
        <f>AM8+AM10+AM12+AM14+AM16+AM18</f>
        <v/>
      </c>
      <c r="AN20" s="151">
        <f>AN8+AN10+AN12+AN14+AN16+AN18</f>
        <v/>
      </c>
      <c r="AO20" s="151">
        <f>AO8+AO10+AO12+AO14+AO16+AO18</f>
        <v/>
      </c>
      <c r="AP20" s="151">
        <f>AP8+AP10+AP12+AP14+AP16+AP18</f>
        <v/>
      </c>
      <c r="AQ20" s="151">
        <f>AQ8+AQ10+AQ12+AQ14+AQ16+AQ18</f>
        <v/>
      </c>
      <c r="AR20" s="151">
        <f>AR8+AR10+AR12+AR14+AR16+AR18</f>
        <v/>
      </c>
      <c r="AS20" s="151">
        <f>AS8+AS10+AS12+AS14+AS16+AS18</f>
        <v/>
      </c>
      <c r="AT20" s="151">
        <f>AT8+AT10+AT12+AT14+AT16+AT18</f>
        <v/>
      </c>
      <c r="AU20" s="151">
        <f>AU8+AU10+AU12+AU14+AU16+AU18</f>
        <v/>
      </c>
      <c r="AV20" s="151">
        <f>AV8+AV10+AV12+AV14+AV16+AV18</f>
        <v/>
      </c>
      <c r="AW20" s="151">
        <f>AW8+AW10+AW12+AW14+AW16+AW18</f>
        <v/>
      </c>
      <c r="AX20" s="151">
        <f>AX8+AX10+AX12+AX14+AX16+AX18</f>
        <v/>
      </c>
      <c r="AY20" s="151">
        <f>AY8+AY10+AY12+AY14+AY16+AY18</f>
        <v/>
      </c>
      <c r="AZ20" s="151">
        <f>AZ8+AZ10+AZ12+AZ14+AZ16+AZ18</f>
        <v/>
      </c>
      <c r="BA20" s="151">
        <f>BA8+BA10+BA12+BA14+BA16+BA18</f>
        <v/>
      </c>
      <c r="BB20" s="151">
        <f>BB8+BB10+BB12+BB14+BB16+BB18</f>
        <v/>
      </c>
      <c r="BC20" s="151">
        <f>BC8+BC10+BC12+BC14+BC16+BC18</f>
        <v/>
      </c>
      <c r="BD20" s="151">
        <f>BD8+BD10+BD12+BD14+BD16+BD18</f>
        <v/>
      </c>
      <c r="BE20" s="151">
        <f>BE8+BE10+BE12+BE14+BE16+BE18</f>
        <v/>
      </c>
      <c r="BF20" s="151">
        <f>BF8+BF10+BF12+BF14+BF16+BF18</f>
        <v/>
      </c>
      <c r="BG20" s="151">
        <f>BG8+BG10+BG12+BG14+BG16+BG18</f>
        <v/>
      </c>
      <c r="BH20" s="151">
        <f>BH8+BH10+BH12+BH14+BH16+BH18</f>
        <v/>
      </c>
      <c r="BI20" s="151">
        <f>BI8+BI10+BI12+BI14+BI16+BI18</f>
        <v/>
      </c>
      <c r="BJ20" s="151">
        <f>BJ8+BJ10+BJ12+BJ14+BJ16+BJ18</f>
        <v/>
      </c>
      <c r="BL20" s="152">
        <f>C20+D20+E20+F20+G20+H20+I20+J20+K20+L20+M20+N20</f>
        <v/>
      </c>
      <c r="BM20" s="152">
        <f>O20+P20+Q20+R20+S20+T20+U20+V20+W20+X20+Y20+Z20</f>
        <v/>
      </c>
      <c r="BN20" s="152">
        <f>AA20+AB20+AC20+AD20+AE20+AF20+AG20+AH20+AI20+AJ20+AK20+AL20</f>
        <v/>
      </c>
      <c r="BO20" s="152">
        <f>AM20+AN20+AO20+AP20+AQ20+AR20+AS20+AT20+AU20+AV20+AW20+AX20</f>
        <v/>
      </c>
      <c r="BP20" s="152">
        <f>AY20+AZ20+BA20+BB20+BC20+BD20+BE20+BF20+BG20+BH20+BI20+BJ20</f>
        <v/>
      </c>
    </row>
    <row r="21" ht="15" customHeight="1" s="104">
      <c r="A21" s="106" t="inlineStr">
        <is>
          <t>EBITDA</t>
        </is>
      </c>
    </row>
    <row r="22" ht="15" customHeight="1" s="104">
      <c r="A22" s="116" t="inlineStr">
        <is>
          <t>EBITDA</t>
        </is>
      </c>
      <c r="C22" s="151">
        <f>C6-C20</f>
        <v/>
      </c>
      <c r="D22" s="151">
        <f>D6-D20</f>
        <v/>
      </c>
      <c r="E22" s="151">
        <f>E6-E20</f>
        <v/>
      </c>
      <c r="F22" s="151">
        <f>F6-F20</f>
        <v/>
      </c>
      <c r="G22" s="151">
        <f>G6-G20</f>
        <v/>
      </c>
      <c r="H22" s="151">
        <f>H6-H20</f>
        <v/>
      </c>
      <c r="I22" s="151">
        <f>I6-I20</f>
        <v/>
      </c>
      <c r="J22" s="151">
        <f>J6-J20</f>
        <v/>
      </c>
      <c r="K22" s="151">
        <f>K6-K20</f>
        <v/>
      </c>
      <c r="L22" s="151">
        <f>L6-L20</f>
        <v/>
      </c>
      <c r="M22" s="151">
        <f>M6-M20</f>
        <v/>
      </c>
      <c r="N22" s="151">
        <f>N6-N20</f>
        <v/>
      </c>
      <c r="O22" s="151">
        <f>O6-O20</f>
        <v/>
      </c>
      <c r="P22" s="151">
        <f>P6-P20</f>
        <v/>
      </c>
      <c r="Q22" s="151">
        <f>Q6-Q20</f>
        <v/>
      </c>
      <c r="R22" s="151">
        <f>R6-R20</f>
        <v/>
      </c>
      <c r="S22" s="151">
        <f>S6-S20</f>
        <v/>
      </c>
      <c r="T22" s="151">
        <f>T6-T20</f>
        <v/>
      </c>
      <c r="U22" s="151">
        <f>U6-U20</f>
        <v/>
      </c>
      <c r="V22" s="151">
        <f>V6-V20</f>
        <v/>
      </c>
      <c r="W22" s="151">
        <f>W6-W20</f>
        <v/>
      </c>
      <c r="X22" s="151">
        <f>X6-X20</f>
        <v/>
      </c>
      <c r="Y22" s="151">
        <f>Y6-Y20</f>
        <v/>
      </c>
      <c r="Z22" s="151">
        <f>Z6-Z20</f>
        <v/>
      </c>
      <c r="AA22" s="151">
        <f>AA6-AA20</f>
        <v/>
      </c>
      <c r="AB22" s="151">
        <f>AB6-AB20</f>
        <v/>
      </c>
      <c r="AC22" s="151">
        <f>AC6-AC20</f>
        <v/>
      </c>
      <c r="AD22" s="151">
        <f>AD6-AD20</f>
        <v/>
      </c>
      <c r="AE22" s="151">
        <f>AE6-AE20</f>
        <v/>
      </c>
      <c r="AF22" s="151">
        <f>AF6-AF20</f>
        <v/>
      </c>
      <c r="AG22" s="151">
        <f>AG6-AG20</f>
        <v/>
      </c>
      <c r="AH22" s="151">
        <f>AH6-AH20</f>
        <v/>
      </c>
      <c r="AI22" s="151">
        <f>AI6-AI20</f>
        <v/>
      </c>
      <c r="AJ22" s="151">
        <f>AJ6-AJ20</f>
        <v/>
      </c>
      <c r="AK22" s="151">
        <f>AK6-AK20</f>
        <v/>
      </c>
      <c r="AL22" s="151">
        <f>AL6-AL20</f>
        <v/>
      </c>
      <c r="AM22" s="151">
        <f>AM6-AM20</f>
        <v/>
      </c>
      <c r="AN22" s="151">
        <f>AN6-AN20</f>
        <v/>
      </c>
      <c r="AO22" s="151">
        <f>AO6-AO20</f>
        <v/>
      </c>
      <c r="AP22" s="151">
        <f>AP6-AP20</f>
        <v/>
      </c>
      <c r="AQ22" s="151">
        <f>AQ6-AQ20</f>
        <v/>
      </c>
      <c r="AR22" s="151">
        <f>AR6-AR20</f>
        <v/>
      </c>
      <c r="AS22" s="151">
        <f>AS6-AS20</f>
        <v/>
      </c>
      <c r="AT22" s="151">
        <f>AT6-AT20</f>
        <v/>
      </c>
      <c r="AU22" s="151">
        <f>AU6-AU20</f>
        <v/>
      </c>
      <c r="AV22" s="151">
        <f>AV6-AV20</f>
        <v/>
      </c>
      <c r="AW22" s="151">
        <f>AW6-AW20</f>
        <v/>
      </c>
      <c r="AX22" s="151">
        <f>AX6-AX20</f>
        <v/>
      </c>
      <c r="AY22" s="151">
        <f>AY6-AY20</f>
        <v/>
      </c>
      <c r="AZ22" s="151">
        <f>AZ6-AZ20</f>
        <v/>
      </c>
      <c r="BA22" s="151">
        <f>BA6-BA20</f>
        <v/>
      </c>
      <c r="BB22" s="151">
        <f>BB6-BB20</f>
        <v/>
      </c>
      <c r="BC22" s="151">
        <f>BC6-BC20</f>
        <v/>
      </c>
      <c r="BD22" s="151">
        <f>BD6-BD20</f>
        <v/>
      </c>
      <c r="BE22" s="151">
        <f>BE6-BE20</f>
        <v/>
      </c>
      <c r="BF22" s="151">
        <f>BF6-BF20</f>
        <v/>
      </c>
      <c r="BG22" s="151">
        <f>BG6-BG20</f>
        <v/>
      </c>
      <c r="BH22" s="151">
        <f>BH6-BH20</f>
        <v/>
      </c>
      <c r="BI22" s="151">
        <f>BI6-BI20</f>
        <v/>
      </c>
      <c r="BJ22" s="151">
        <f>BJ6-BJ20</f>
        <v/>
      </c>
      <c r="BL22" s="152">
        <f>C22+D22+E22+F22+G22+H22+I22+J22+K22+L22+M22+N22</f>
        <v/>
      </c>
      <c r="BM22" s="152">
        <f>O22+P22+Q22+R22+S22+T22+U22+V22+W22+X22+Y22+Z22</f>
        <v/>
      </c>
      <c r="BN22" s="152">
        <f>AA22+AB22+AC22+AD22+AE22+AF22+AG22+AH22+AI22+AJ22+AK22+AL22</f>
        <v/>
      </c>
      <c r="BO22" s="152">
        <f>AM22+AN22+AO22+AP22+AQ22+AR22+AS22+AT22+AU22+AV22+AW22+AX22</f>
        <v/>
      </c>
      <c r="BP22" s="152">
        <f>AY22+AZ22+BA22+BB22+BC22+BD22+BE22+BF22+BG22+BH22+BI22+BJ22</f>
        <v/>
      </c>
    </row>
    <row r="23" ht="15" customHeight="1" s="104">
      <c r="A23" s="218" t="inlineStr">
        <is>
          <t xml:space="preserve">    EBITDA Margin %</t>
        </is>
      </c>
      <c r="C23" s="192">
        <f>IF(C6=0,0,C22/C6)</f>
        <v/>
      </c>
      <c r="D23" s="192">
        <f>IF(D6=0,0,D22/D6)</f>
        <v/>
      </c>
      <c r="E23" s="192">
        <f>IF(E6=0,0,E22/E6)</f>
        <v/>
      </c>
      <c r="F23" s="192">
        <f>IF(F6=0,0,F22/F6)</f>
        <v/>
      </c>
      <c r="G23" s="192">
        <f>IF(G6=0,0,G22/G6)</f>
        <v/>
      </c>
      <c r="H23" s="192">
        <f>IF(H6=0,0,H22/H6)</f>
        <v/>
      </c>
      <c r="I23" s="192">
        <f>IF(I6=0,0,I22/I6)</f>
        <v/>
      </c>
      <c r="J23" s="192">
        <f>IF(J6=0,0,J22/J6)</f>
        <v/>
      </c>
      <c r="K23" s="192">
        <f>IF(K6=0,0,K22/K6)</f>
        <v/>
      </c>
      <c r="L23" s="192">
        <f>IF(L6=0,0,L22/L6)</f>
        <v/>
      </c>
      <c r="M23" s="192">
        <f>IF(M6=0,0,M22/M6)</f>
        <v/>
      </c>
      <c r="N23" s="192">
        <f>IF(N6=0,0,N22/N6)</f>
        <v/>
      </c>
      <c r="O23" s="192">
        <f>IF(O6=0,0,O22/O6)</f>
        <v/>
      </c>
      <c r="P23" s="192">
        <f>IF(P6=0,0,P22/P6)</f>
        <v/>
      </c>
      <c r="Q23" s="192">
        <f>IF(Q6=0,0,Q22/Q6)</f>
        <v/>
      </c>
      <c r="R23" s="192">
        <f>IF(R6=0,0,R22/R6)</f>
        <v/>
      </c>
      <c r="S23" s="192">
        <f>IF(S6=0,0,S22/S6)</f>
        <v/>
      </c>
      <c r="T23" s="192">
        <f>IF(T6=0,0,T22/T6)</f>
        <v/>
      </c>
      <c r="U23" s="192">
        <f>IF(U6=0,0,U22/U6)</f>
        <v/>
      </c>
      <c r="V23" s="192">
        <f>IF(V6=0,0,V22/V6)</f>
        <v/>
      </c>
      <c r="W23" s="192">
        <f>IF(W6=0,0,W22/W6)</f>
        <v/>
      </c>
      <c r="X23" s="192">
        <f>IF(X6=0,0,X22/X6)</f>
        <v/>
      </c>
      <c r="Y23" s="192">
        <f>IF(Y6=0,0,Y22/Y6)</f>
        <v/>
      </c>
      <c r="Z23" s="192">
        <f>IF(Z6=0,0,Z22/Z6)</f>
        <v/>
      </c>
      <c r="AA23" s="192">
        <f>IF(AA6=0,0,AA22/AA6)</f>
        <v/>
      </c>
      <c r="AB23" s="192">
        <f>IF(AB6=0,0,AB22/AB6)</f>
        <v/>
      </c>
      <c r="AC23" s="192">
        <f>IF(AC6=0,0,AC22/AC6)</f>
        <v/>
      </c>
      <c r="AD23" s="192">
        <f>IF(AD6=0,0,AD22/AD6)</f>
        <v/>
      </c>
      <c r="AE23" s="192">
        <f>IF(AE6=0,0,AE22/AE6)</f>
        <v/>
      </c>
      <c r="AF23" s="192">
        <f>IF(AF6=0,0,AF22/AF6)</f>
        <v/>
      </c>
      <c r="AG23" s="192">
        <f>IF(AG6=0,0,AG22/AG6)</f>
        <v/>
      </c>
      <c r="AH23" s="192">
        <f>IF(AH6=0,0,AH22/AH6)</f>
        <v/>
      </c>
      <c r="AI23" s="192">
        <f>IF(AI6=0,0,AI22/AI6)</f>
        <v/>
      </c>
      <c r="AJ23" s="192">
        <f>IF(AJ6=0,0,AJ22/AJ6)</f>
        <v/>
      </c>
      <c r="AK23" s="192">
        <f>IF(AK6=0,0,AK22/AK6)</f>
        <v/>
      </c>
      <c r="AL23" s="192">
        <f>IF(AL6=0,0,AL22/AL6)</f>
        <v/>
      </c>
      <c r="AM23" s="192">
        <f>IF(AM6=0,0,AM22/AM6)</f>
        <v/>
      </c>
      <c r="AN23" s="192">
        <f>IF(AN6=0,0,AN22/AN6)</f>
        <v/>
      </c>
      <c r="AO23" s="192">
        <f>IF(AO6=0,0,AO22/AO6)</f>
        <v/>
      </c>
      <c r="AP23" s="192">
        <f>IF(AP6=0,0,AP22/AP6)</f>
        <v/>
      </c>
      <c r="AQ23" s="192">
        <f>IF(AQ6=0,0,AQ22/AQ6)</f>
        <v/>
      </c>
      <c r="AR23" s="192">
        <f>IF(AR6=0,0,AR22/AR6)</f>
        <v/>
      </c>
      <c r="AS23" s="192">
        <f>IF(AS6=0,0,AS22/AS6)</f>
        <v/>
      </c>
      <c r="AT23" s="192">
        <f>IF(AT6=0,0,AT22/AT6)</f>
        <v/>
      </c>
      <c r="AU23" s="192">
        <f>IF(AU6=0,0,AU22/AU6)</f>
        <v/>
      </c>
      <c r="AV23" s="192">
        <f>IF(AV6=0,0,AV22/AV6)</f>
        <v/>
      </c>
      <c r="AW23" s="192">
        <f>IF(AW6=0,0,AW22/AW6)</f>
        <v/>
      </c>
      <c r="AX23" s="192">
        <f>IF(AX6=0,0,AX22/AX6)</f>
        <v/>
      </c>
      <c r="AY23" s="192">
        <f>IF(AY6=0,0,AY22/AY6)</f>
        <v/>
      </c>
      <c r="AZ23" s="192">
        <f>IF(AZ6=0,0,AZ22/AZ6)</f>
        <v/>
      </c>
      <c r="BA23" s="192">
        <f>IF(BA6=0,0,BA22/BA6)</f>
        <v/>
      </c>
      <c r="BB23" s="192">
        <f>IF(BB6=0,0,BB22/BB6)</f>
        <v/>
      </c>
      <c r="BC23" s="192">
        <f>IF(BC6=0,0,BC22/BC6)</f>
        <v/>
      </c>
      <c r="BD23" s="192">
        <f>IF(BD6=0,0,BD22/BD6)</f>
        <v/>
      </c>
      <c r="BE23" s="192">
        <f>IF(BE6=0,0,BE22/BE6)</f>
        <v/>
      </c>
      <c r="BF23" s="192">
        <f>IF(BF6=0,0,BF22/BF6)</f>
        <v/>
      </c>
      <c r="BG23" s="192">
        <f>IF(BG6=0,0,BG22/BG6)</f>
        <v/>
      </c>
      <c r="BH23" s="192">
        <f>IF(BH6=0,0,BH22/BH6)</f>
        <v/>
      </c>
      <c r="BI23" s="192">
        <f>IF(BI6=0,0,BI22/BI6)</f>
        <v/>
      </c>
      <c r="BJ23" s="192">
        <f>IF(BJ6=0,0,BJ22/BJ6)</f>
        <v/>
      </c>
      <c r="BL23" s="219">
        <f>IF((C6+D6+E6+F6+G6+H6+I6+J6+K6+L6+M6+N6)=0,0,(C22+D22+E22+F22+G22+H22+I22+J22+K22+L22+M22+N22)/(C6+D6+E6+F6+G6+H6+I6+J6+K6+L6+M6+N6))</f>
        <v/>
      </c>
      <c r="BM23" s="219">
        <f>IF((O6+P6+Q6+R6+S6+T6+U6+V6+W6+X6+Y6+Z6)=0,0,(O22+P22+Q22+R22+S22+T22+U22+V22+W22+X22+Y22+Z22)/(O6+P6+Q6+R6+S6+T6+U6+V6+W6+X6+Y6+Z6))</f>
        <v/>
      </c>
      <c r="BN23" s="219">
        <f>IF((AA6+AB6+AC6+AD6+AE6+AF6+AG6+AH6+AI6+AJ6+AK6+AL6)=0,0,(AA22+AB22+AC22+AD22+AE22+AF22+AG22+AH22+AI22+AJ22+AK22+AL22)/(AA6+AB6+AC6+AD6+AE6+AF6+AG6+AH6+AI6+AJ6+AK6+AL6))</f>
        <v/>
      </c>
      <c r="BO23" s="219">
        <f>IF((AM6+AN6+AO6+AP6+AQ6+AR6+AS6+AT6+AU6+AV6+AW6+AX6)=0,0,(AM22+AN22+AO22+AP22+AQ22+AR22+AS22+AT22+AU22+AV22+AW22+AX22)/(AM6+AN6+AO6+AP6+AQ6+AR6+AS6+AT6+AU6+AV6+AW6+AX6))</f>
        <v/>
      </c>
      <c r="BP23" s="219">
        <f>IF((AY6+AZ6+BA6+BB6+BC6+BD6+BE6+BF6+BG6+BH6+BI6+BJ6)=0,0,(AY22+AZ22+BA22+BB22+BC22+BD22+BE22+BF22+BG22+BH22+BI22+BJ22)/(AY6+AZ6+BA6+BB6+BC6+BD6+BE6+BF6+BG6+BH6+BI6+BJ6))</f>
        <v/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9CFFEFDFAF0349859FCC2AA079DFFC" ma:contentTypeVersion="19" ma:contentTypeDescription="Create a new document." ma:contentTypeScope="" ma:versionID="fce3a0d4c99850e3dc4578a0089d6503">
  <xsd:schema xmlns:xsd="http://www.w3.org/2001/XMLSchema" xmlns:xs="http://www.w3.org/2001/XMLSchema" xmlns:p="http://schemas.microsoft.com/office/2006/metadata/properties" xmlns:ns2="ccda3a1a-2911-48c2-83e4-64d505ea4be4" xmlns:ns3="a844e5e6-3f9b-4719-8c79-06f078548df9" targetNamespace="http://schemas.microsoft.com/office/2006/metadata/properties" ma:root="true" ma:fieldsID="323d64b2ff90bc1fb5149c35f6a10d14" ns2:_="" ns3:_="">
    <xsd:import namespace="ccda3a1a-2911-48c2-83e4-64d505ea4be4"/>
    <xsd:import namespace="a844e5e6-3f9b-4719-8c79-06f078548df9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da3a1a-2911-48c2-83e4-64d505ea4be4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Image Tags_0" ma:hidden="true" ma:internalName="lcf76f155ced4ddcb4097134ff3c332f0" ma:readOnly="false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575ed28-d42a-487e-8337-733c2424f0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44e5e6-3f9b-4719-8c79-06f078548df9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dd7bca1a-4583-4f4c-a94a-51bf2109de5b}" ma:internalName="TaxCatchAll" ma:showField="CatchAllData" ma:web="a844e5e6-3f9b-4719-8c79-06f078548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Version xmlns="ccda3a1a-2911-48c2-83e4-64d505ea4be4" xsi:nil="true"/>
    <lcf76f155ced4ddcb4097134ff3c332f0 xmlns="ccda3a1a-2911-48c2-83e4-64d505ea4be4" xsi:nil="true"/>
    <TaxCatchAll xmlns="a844e5e6-3f9b-4719-8c79-06f078548df9" xsi:nil="true"/>
    <lcf76f155ced4ddcb4097134ff3c332f xmlns="ccda3a1a-2911-48c2-83e4-64d505ea4be4">
      <Terms xmlns="http://schemas.microsoft.com/office/infopath/2007/PartnerControls"/>
    </lcf76f155ced4ddcb4097134ff3c332f>
    <MigrationWizIdPermissions xmlns="ccda3a1a-2911-48c2-83e4-64d505ea4be4" xsi:nil="true"/>
    <MigrationWizId xmlns="ccda3a1a-2911-48c2-83e4-64d505ea4be4" xsi:nil="true"/>
  </documentManagement>
</p:properties>
</file>

<file path=customXml/itemProps1.xml><?xml version="1.0" encoding="utf-8"?>
<ds:datastoreItem xmlns:ds="http://schemas.openxmlformats.org/officeDocument/2006/customXml" ds:itemID="{B4A44B71-7353-49E6-AEE2-E14045FAAB5F}"/>
</file>

<file path=customXml/itemProps2.xml><?xml version="1.0" encoding="utf-8"?>
<ds:datastoreItem xmlns:ds="http://schemas.openxmlformats.org/officeDocument/2006/customXml" ds:itemID="{F3F9AFD7-0154-409C-9976-5F7D1F6DE427}"/>
</file>

<file path=customXml/itemProps3.xml><?xml version="1.0" encoding="utf-8"?>
<ds:datastoreItem xmlns:ds="http://schemas.openxmlformats.org/officeDocument/2006/customXml" ds:itemID="{F5F84770-28AB-4BA4-BFC3-E68BC0268566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Michael Davidov</cp:lastModifiedBy>
  <cp:revision>0</cp:revision>
  <dcterms:created xsi:type="dcterms:W3CDTF">2026-03-10T03:36:58Z</dcterms:created>
  <dcterms:modified xsi:type="dcterms:W3CDTF">2026-03-11T23:37:09Z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0x010100499CFFEFDFAF0349859FCC2AA079DFFC</vt:lpwstr>
  </property>
  <property fmtid="{D5CDD505-2E9C-101B-9397-08002B2CF9AE}" pid="3" name="MediaServiceImageTags">
    <vt:lpwstr/>
  </property>
</Properties>
</file>